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<sst xmlns="http://schemas.openxmlformats.org/spreadsheetml/2006/main" count="855" uniqueCount="249">
  <si>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</si>
  <si>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</si>
  <si>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</si>
  <si>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</si>
  <si>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</si>
  <si>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</si>
  <si>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</si>
  <si>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</si>
  <si>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</si>
  <si>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</si>
  <si>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</si>
  <si>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</si>
  <si>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</si>
  <si>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</si>
  <si>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</si>
  <si>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</si>
  <si>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</si>
  <si>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</si>
  <si>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</si>
  <si>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</si>
  <si>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</si>
  <si>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</si>
  <si>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</si>
  <si>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</si>
  <si>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</si>
  <si>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</si>
  <si>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</si>
  <si>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</si>
  <si>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</si>
  <si>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</si>
  <si>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</si>
  <si>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</si>
  <si>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</si>
  <si>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</si>
  <si>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</si>
  <si>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</si>
  <si>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</si>
  <si>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</si>
  <si>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</si>
  <si>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</si>
  <si>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</si>
  <si>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</si>
  <si>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</si>
  <si>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</si>
  <si>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</si>
  <si>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</si>
  <si>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</si>
  <si>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</si>
  <si>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</si>
  <si>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</si>
  <si>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</si>
  <si>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</si>
  <si>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</si>
  <si>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</si>
  <si>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</si>
  <si>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</si>
  <si>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</si>
  <si>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</si>
  <si>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</si>
  <si>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</si>
  <si>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</si>
  <si>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</si>
  <si>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</si>
  <si>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</si>
  <si>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</si>
  <si>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</si>
  <si>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</si>
  <si>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</si>
  <si>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</si>
  <si>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</si>
  <si>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</si>
  <si>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</si>
  <si>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</si>
  <si>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</si>
  <si>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</si>
  <si>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</si>
  <si>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</si>
  <si>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</si>
  <si>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</si>
  <si>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</si>
  <si>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</si>
  <si>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</si>
  <si>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</si>
  <si>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</si>
  <si>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</si>
  <si>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</si>
  <si>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</si>
  <si>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</si>
  <si>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</si>
  <si>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</si>
  <si>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</si>
  <si>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</si>
  <si>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</si>
  <si>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</si>
  <si>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</si>
  <si>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</si>
  <si>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</si>
  <si>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</si>
  <si>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</si>
  <si>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</si>
  <si>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</si>
  <si>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</si>
  <si>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</si>
  <si>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</si>
  <si>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</si>
  <si>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</si>
  <si>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</si>
  <si>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</si>
  <si>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</si>
  <si>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</si>
  <si>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</si>
  <si>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</si>
  <si>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</si>
  <si>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</si>
  <si>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</si>
  <si>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</si>
  <si>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</si>
  <si>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</si>
  <si>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</si>
  <si>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</si>
  <si>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</si>
  <si>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</si>
  <si>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</si>
  <si>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</si>
  <si>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</si>
  <si>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</si>
  <si>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</si>
  <si>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</si>
  <si>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</si>
  <si>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</si>
  <si>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</si>
  <si>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</si>
  <si>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</si>
  <si>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</si>
  <si>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</si>
  <si>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</si>
  <si>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</si>
  <si>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</si>
  <si>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</si>
  <si>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</si>
  <si>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</si>
  <si>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</si>
  <si>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</si>
  <si>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</si>
  <si>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</si>
  <si>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</si>
  <si>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</si>
  <si>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</si>
  <si>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</si>
  <si>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</si>
  <si>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</si>
  <si>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</si>
  <si>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</si>
  <si>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</si>
  <si>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</si>
  <si>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</si>
  <si>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</si>
  <si>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</si>
  <si>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</si>
  <si>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</si>
  <si>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</si>
  <si>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</si>
  <si>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</si>
  <si>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</si>
  <si>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</si>
  <si>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</si>
  <si>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</si>
  <si>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</si>
  <si>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</si>
  <si>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</si>
  <si>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</si>
  <si>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</si>
  <si>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</si>
  <si>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</si>
  <si>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</si>
  <si>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</si>
  <si>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</si>
  <si>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</si>
  <si>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</si>
  <si>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</si>
  <si>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</si>
  <si>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</si>
  <si>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</si>
  <si>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</si>
  <si>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</si>
  <si>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</si>
  <si>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</si>
  <si>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</si>
  <si>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</si>
  <si>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</si>
  <si>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</si>
  <si>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</si>
  <si>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</si>
  <si>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</si>
  <si>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</si>
  <si>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</si>
  <si>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</si>
  <si>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</si>
  <si>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</si>
  <si>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</si>
  <si>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</si>
  <si>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</si>
  <si>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</si>
  <si>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</si>
  <si>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</si>
  <si>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</si>
  <si>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</si>
  <si>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</si>
  <si>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</si>
  <si>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</si>
  <si>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</si>
  <si>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</si>
  <si>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</si>
  <si>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</si>
  <si>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</si>
  <si>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</si>
  <si>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</si>
  <si>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</si>
  <si>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</si>
  <si>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</si>
  <si>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</si>
  <si>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</si>
  <si>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</si>
  <si>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</si>
  <si>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</si>
  <si>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</si>
  <si>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</si>
  <si>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</si>
  <si>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</si>
  <si>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</si>
  <si>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</si>
  <si>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</si>
  <si>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</si>
  <si>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</si>
  <si>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</si>
  <si>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</si>
  <si>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</si>
  <si>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</si>
  <si>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</si>
  <si>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</si>
  <si>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</si>
  <si>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</si>
  <si>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</si>
  <si>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</si>
  <si>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07.04.15 </t>
    </r>
    <r>
      <rPr>
        <b/>
        <sz val="10"/>
        <rFont val="Times New Roman"/>
        <family val="1"/>
      </rPr>
      <t>включно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</si>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</sst>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06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99" sqref="I99:I10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/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240</v>
      </c>
      <c r="N3" s="220" t="s">
        <v>241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237</v>
      </c>
      <c r="F4" s="207" t="s">
        <v>116</v>
      </c>
      <c r="G4" s="209" t="s">
        <v>238</v>
      </c>
      <c r="H4" s="211" t="s">
        <v>239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244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12"/>
      <c r="I5" s="205"/>
      <c r="J5" s="201"/>
      <c r="K5" s="197" t="s">
        <v>242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177394.93</v>
      </c>
      <c r="F8" s="18">
        <f>F10+F19+F30+F33+F34+F42</f>
        <v>148682.80000000002</v>
      </c>
      <c r="G8" s="18">
        <f aca="true" t="shared" si="0" ref="G8:G42">F8-E8</f>
        <v>-28712.129999999976</v>
      </c>
      <c r="H8" s="45">
        <f>F8/E8*100</f>
        <v>83.81457125071164</v>
      </c>
      <c r="I8" s="31">
        <f aca="true" t="shared" si="1" ref="I8:I42">F8-D8</f>
        <v>-368746.19999999995</v>
      </c>
      <c r="J8" s="31">
        <f aca="true" t="shared" si="2" ref="J8:J14">F8/D8*100</f>
        <v>28.734918220664095</v>
      </c>
      <c r="K8" s="18">
        <f>K10+K19+K30+K33+K34+K42</f>
        <v>-2962.1799999999967</v>
      </c>
      <c r="L8" s="18"/>
      <c r="M8" s="18">
        <f>M10+M19+M30+M33+M34+M42</f>
        <v>41736.35</v>
      </c>
      <c r="N8" s="18">
        <f>N10+N19+N30+N33+N34+N42</f>
        <v>9200.020000000002</v>
      </c>
      <c r="O8" s="31">
        <f aca="true" t="shared" si="3" ref="O8:O45">N8-M8</f>
        <v>-32536.329999999994</v>
      </c>
      <c r="P8" s="31">
        <f>F8/M8*100</f>
        <v>356.2429393083009</v>
      </c>
      <c r="Q8" s="31">
        <f>N8-33748.16</f>
        <v>-24548.14</v>
      </c>
      <c r="R8" s="125">
        <f>N8/33748.16</f>
        <v>0.2726080473720642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85641.64</v>
      </c>
      <c r="G9" s="18">
        <f t="shared" si="0"/>
        <v>85641.64</v>
      </c>
      <c r="H9" s="16"/>
      <c r="I9" s="50">
        <f t="shared" si="1"/>
        <v>-227048.36</v>
      </c>
      <c r="J9" s="50">
        <f t="shared" si="2"/>
        <v>27.388672487127824</v>
      </c>
      <c r="K9" s="50"/>
      <c r="L9" s="50"/>
      <c r="M9" s="16">
        <f>M10+M17</f>
        <v>25134</v>
      </c>
      <c r="N9" s="16">
        <f>N10+N17</f>
        <v>7204.139999999999</v>
      </c>
      <c r="O9" s="31">
        <f t="shared" si="3"/>
        <v>-17929.86</v>
      </c>
      <c r="P9" s="50">
        <f>F9/M9*100</f>
        <v>340.7401925678364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85641.64</v>
      </c>
      <c r="G10" s="43">
        <f t="shared" si="0"/>
        <v>-16006.339999999997</v>
      </c>
      <c r="H10" s="35">
        <f aca="true" t="shared" si="4" ref="H10:H42">F10/E10*100</f>
        <v>84.25316469643568</v>
      </c>
      <c r="I10" s="50">
        <f t="shared" si="1"/>
        <v>-227048.36</v>
      </c>
      <c r="J10" s="50">
        <f t="shared" si="2"/>
        <v>27.388672487127824</v>
      </c>
      <c r="K10" s="132">
        <f>F10-117120.15/75*60</f>
        <v>-8054.479999999996</v>
      </c>
      <c r="L10" s="132">
        <f>F10/(117120.15/75*60)*100</f>
        <v>91.40361415179198</v>
      </c>
      <c r="M10" s="35">
        <f>E10-березень!E10</f>
        <v>25134</v>
      </c>
      <c r="N10" s="35">
        <f>F10-березень!F10</f>
        <v>7204.139999999999</v>
      </c>
      <c r="O10" s="47">
        <f t="shared" si="3"/>
        <v>-17929.86</v>
      </c>
      <c r="P10" s="50">
        <f aca="true" t="shared" si="5" ref="P10:P42">N10/M10*100</f>
        <v>28.662926712819285</v>
      </c>
      <c r="Q10" s="132">
        <f>N10-26568.11</f>
        <v>-19363.97</v>
      </c>
      <c r="R10" s="133">
        <f>N10/26568.11</f>
        <v>0.27115741390712395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E11-березень!E11</f>
        <v>0</v>
      </c>
      <c r="N11" s="35">
        <f>F11-березень!F11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E12-березень!E12</f>
        <v>0</v>
      </c>
      <c r="N12" s="35">
        <f>F12-березень!F12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E13-березень!E13</f>
        <v>0</v>
      </c>
      <c r="N13" s="35">
        <f>F13-березень!F13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E14-березень!E14</f>
        <v>0</v>
      </c>
      <c r="N14" s="35">
        <f>F14-березень!F14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E15-березень!E15</f>
        <v>0</v>
      </c>
      <c r="N15" s="35">
        <f>F15-березень!F15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-1018.08</v>
      </c>
      <c r="G19" s="43">
        <f t="shared" si="0"/>
        <v>-1189.28</v>
      </c>
      <c r="H19" s="35"/>
      <c r="I19" s="50">
        <f t="shared" si="1"/>
        <v>-1518.08</v>
      </c>
      <c r="J19" s="50">
        <f aca="true" t="shared" si="6" ref="J19:J30">F19/D19*100</f>
        <v>-203.616</v>
      </c>
      <c r="K19" s="50">
        <f>F19-552.92</f>
        <v>-1571</v>
      </c>
      <c r="L19" s="50">
        <f>F19/552.92*100</f>
        <v>-184.1279027707444</v>
      </c>
      <c r="M19" s="35">
        <f>E19-березень!E19</f>
        <v>0</v>
      </c>
      <c r="N19" s="35">
        <f>F19-березень!F19</f>
        <v>1.7999999999999545</v>
      </c>
      <c r="O19" s="47">
        <f t="shared" si="3"/>
        <v>1.7999999999999545</v>
      </c>
      <c r="P19" s="50"/>
      <c r="Q19" s="50">
        <f>N19-358.81</f>
        <v>-357.01000000000005</v>
      </c>
      <c r="R19" s="126">
        <f>N19/358.81</f>
        <v>0.005016582592458277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F29-783.18</f>
        <v>-2200.36</v>
      </c>
      <c r="L29" s="136">
        <f>F29/783.18*100</f>
        <v>-180.95201613932943</v>
      </c>
      <c r="M29" s="35">
        <f>E29-березень!E29</f>
        <v>0</v>
      </c>
      <c r="N29" s="35">
        <f>F29-березень!F29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E30-березень!E30</f>
        <v>0</v>
      </c>
      <c r="N30" s="35">
        <f>F30-березень!F30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E31-березень!E31</f>
        <v>0</v>
      </c>
      <c r="N31" s="35">
        <f>F31-березень!F31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E32-березень!E32</f>
        <v>0</v>
      </c>
      <c r="N32" s="35">
        <f>F32-березень!F32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12662.75</v>
      </c>
      <c r="F33" s="168">
        <v>10082.97</v>
      </c>
      <c r="G33" s="43">
        <f t="shared" si="0"/>
        <v>-2579.7800000000007</v>
      </c>
      <c r="H33" s="35">
        <f t="shared" si="4"/>
        <v>79.62701624844524</v>
      </c>
      <c r="I33" s="50">
        <f t="shared" si="1"/>
        <v>-19867.03</v>
      </c>
      <c r="J33" s="178">
        <f>F33/D33*100</f>
        <v>33.666010016694486</v>
      </c>
      <c r="K33" s="179">
        <f>F33-0</f>
        <v>10082.97</v>
      </c>
      <c r="L33" s="180"/>
      <c r="M33" s="35">
        <f>E33-березень!E33</f>
        <v>2722.75</v>
      </c>
      <c r="N33" s="35">
        <f>F33-березень!F33</f>
        <v>12.489999999999782</v>
      </c>
      <c r="O33" s="47">
        <f t="shared" si="3"/>
        <v>-2710.26</v>
      </c>
      <c r="P33" s="50">
        <f t="shared" si="5"/>
        <v>0.4587273895877249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60905.5</v>
      </c>
      <c r="F34" s="169">
        <f>F35+F39+F41+F40</f>
        <v>51913.31</v>
      </c>
      <c r="G34" s="43">
        <f t="shared" si="0"/>
        <v>-8992.190000000002</v>
      </c>
      <c r="H34" s="35">
        <f t="shared" si="4"/>
        <v>85.2358325602778</v>
      </c>
      <c r="I34" s="50">
        <f t="shared" si="1"/>
        <v>-114856.69</v>
      </c>
      <c r="J34" s="178">
        <f aca="true" t="shared" si="11" ref="J34:J42">F34/D34*100</f>
        <v>31.12868621454698</v>
      </c>
      <c r="K34" s="178">
        <f>K35+K39+K40+K41</f>
        <v>-2861.29</v>
      </c>
      <c r="L34" s="136"/>
      <c r="M34" s="35">
        <f>E34-березень!E34</f>
        <v>13870.5</v>
      </c>
      <c r="N34" s="35">
        <f>F34-березень!F34</f>
        <v>1934.3300000000017</v>
      </c>
      <c r="O34" s="47">
        <f t="shared" si="3"/>
        <v>-11936.169999999998</v>
      </c>
      <c r="P34" s="50">
        <f t="shared" si="5"/>
        <v>13.945640027396285</v>
      </c>
      <c r="Q34" s="139"/>
      <c r="R34" s="140"/>
    </row>
    <row r="35" spans="1:18" s="6" customFormat="1" ht="15.75">
      <c r="A35" s="8"/>
      <c r="B35" s="60" t="s">
        <v>245</v>
      </c>
      <c r="C35" s="170">
        <v>18010000</v>
      </c>
      <c r="D35" s="43">
        <f>D36+D37+D38</f>
        <v>98200</v>
      </c>
      <c r="E35" s="43">
        <f>E36+E37+E38</f>
        <v>31853</v>
      </c>
      <c r="F35" s="169">
        <f>F36+F37+F38</f>
        <v>25319.03</v>
      </c>
      <c r="G35" s="43">
        <f t="shared" si="0"/>
        <v>-6533.970000000001</v>
      </c>
      <c r="H35" s="35">
        <f t="shared" si="4"/>
        <v>79.48711267384547</v>
      </c>
      <c r="I35" s="50">
        <f t="shared" si="1"/>
        <v>-72880.97</v>
      </c>
      <c r="J35" s="178">
        <f t="shared" si="11"/>
        <v>25.783126272912423</v>
      </c>
      <c r="K35" s="178">
        <f>K36+K37+K38</f>
        <v>-726.2499999999987</v>
      </c>
      <c r="L35" s="136"/>
      <c r="M35" s="35">
        <f>E35-березень!E35</f>
        <v>8066</v>
      </c>
      <c r="N35" s="35">
        <f>F35-березень!F35</f>
        <v>708.7700000000004</v>
      </c>
      <c r="O35" s="47">
        <f t="shared" si="3"/>
        <v>-7357.23</v>
      </c>
      <c r="P35" s="50">
        <f t="shared" si="5"/>
        <v>8.787131167865118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271</v>
      </c>
      <c r="F36" s="144">
        <v>792.55</v>
      </c>
      <c r="G36" s="135">
        <f t="shared" si="0"/>
        <v>521.55</v>
      </c>
      <c r="H36" s="137">
        <f t="shared" si="4"/>
        <v>292.45387453874537</v>
      </c>
      <c r="I36" s="136">
        <f t="shared" si="1"/>
        <v>-207.45000000000005</v>
      </c>
      <c r="J36" s="136">
        <f t="shared" si="11"/>
        <v>79.255</v>
      </c>
      <c r="K36" s="136">
        <f>F36-127.86</f>
        <v>664.6899999999999</v>
      </c>
      <c r="L36" s="136">
        <f>F36/127.86*100</f>
        <v>619.8576568121382</v>
      </c>
      <c r="M36" s="35">
        <f>E36-березень!E36</f>
        <v>161</v>
      </c>
      <c r="N36" s="35">
        <f>F36-березень!F36</f>
        <v>266.27</v>
      </c>
      <c r="O36" s="47">
        <f t="shared" si="3"/>
        <v>105.26999999999998</v>
      </c>
      <c r="P36" s="50">
        <f t="shared" si="5"/>
        <v>165.38509316770185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250</v>
      </c>
      <c r="F37" s="144">
        <v>43.75</v>
      </c>
      <c r="G37" s="135">
        <f t="shared" si="0"/>
        <v>-206.25</v>
      </c>
      <c r="H37" s="137"/>
      <c r="I37" s="136">
        <f t="shared" si="1"/>
        <v>-1456.25</v>
      </c>
      <c r="J37" s="136">
        <f t="shared" si="11"/>
        <v>2.9166666666666665</v>
      </c>
      <c r="K37" s="136">
        <f>F37-0</f>
        <v>43.75</v>
      </c>
      <c r="L37" s="136"/>
      <c r="M37" s="35">
        <f>E37-березень!E37</f>
        <v>250</v>
      </c>
      <c r="N37" s="35">
        <f>F37-березень!F37</f>
        <v>6.049999999999997</v>
      </c>
      <c r="O37" s="47">
        <f t="shared" si="3"/>
        <v>-243.95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31332</v>
      </c>
      <c r="F38" s="144">
        <v>24482.73</v>
      </c>
      <c r="G38" s="135">
        <f t="shared" si="0"/>
        <v>-6849.27</v>
      </c>
      <c r="H38" s="137">
        <f t="shared" si="4"/>
        <v>78.13969743393335</v>
      </c>
      <c r="I38" s="136">
        <f t="shared" si="1"/>
        <v>-71217.27</v>
      </c>
      <c r="J38" s="136">
        <f t="shared" si="11"/>
        <v>25.582789968652037</v>
      </c>
      <c r="K38" s="139">
        <f>F38-25917.42</f>
        <v>-1434.6899999999987</v>
      </c>
      <c r="L38" s="139">
        <f>F38/25917.42*100</f>
        <v>94.46437955629843</v>
      </c>
      <c r="M38" s="35">
        <f>E38-березень!E38</f>
        <v>7655</v>
      </c>
      <c r="N38" s="35">
        <f>F38-березень!F38</f>
        <v>436.4500000000007</v>
      </c>
      <c r="O38" s="47">
        <f t="shared" si="3"/>
        <v>-7218.549999999999</v>
      </c>
      <c r="P38" s="50">
        <f t="shared" si="5"/>
        <v>5.701502286087534</v>
      </c>
      <c r="Q38" s="139"/>
      <c r="R38" s="140"/>
    </row>
    <row r="39" spans="1:18" s="6" customFormat="1" ht="15.75">
      <c r="A39" s="8"/>
      <c r="B39" s="60" t="s">
        <v>246</v>
      </c>
      <c r="C39" s="170">
        <v>18030000</v>
      </c>
      <c r="D39" s="43">
        <v>70</v>
      </c>
      <c r="E39" s="43">
        <v>12.5</v>
      </c>
      <c r="F39" s="168">
        <v>17.62</v>
      </c>
      <c r="G39" s="43">
        <f t="shared" si="0"/>
        <v>5.120000000000001</v>
      </c>
      <c r="H39" s="35">
        <f t="shared" si="4"/>
        <v>140.96</v>
      </c>
      <c r="I39" s="50">
        <f t="shared" si="1"/>
        <v>-52.379999999999995</v>
      </c>
      <c r="J39" s="178">
        <f t="shared" si="11"/>
        <v>25.17142857142857</v>
      </c>
      <c r="K39" s="178">
        <f>F39-22.12</f>
        <v>-4.5</v>
      </c>
      <c r="L39" s="178">
        <f>F39/22.12*100</f>
        <v>79.65641952983725</v>
      </c>
      <c r="M39" s="35">
        <f>E39-березень!E39</f>
        <v>4.5</v>
      </c>
      <c r="N39" s="35">
        <f>F39-березень!F39</f>
        <v>0</v>
      </c>
      <c r="O39" s="47">
        <f t="shared" si="3"/>
        <v>-4.5</v>
      </c>
      <c r="P39" s="50">
        <f t="shared" si="5"/>
        <v>0</v>
      </c>
      <c r="Q39" s="139"/>
      <c r="R39" s="140"/>
    </row>
    <row r="40" spans="1:18" s="6" customFormat="1" ht="47.25">
      <c r="A40" s="8"/>
      <c r="B40" s="60" t="s">
        <v>247</v>
      </c>
      <c r="C40" s="170">
        <v>18040000</v>
      </c>
      <c r="D40" s="43"/>
      <c r="E40" s="43"/>
      <c r="F40" s="168">
        <v>-14.05</v>
      </c>
      <c r="G40" s="43">
        <f t="shared" si="0"/>
        <v>-14.05</v>
      </c>
      <c r="H40" s="35"/>
      <c r="I40" s="50">
        <f t="shared" si="1"/>
        <v>-14.05</v>
      </c>
      <c r="J40" s="136"/>
      <c r="K40" s="178">
        <f>F40-2145.36</f>
        <v>-2159.4100000000003</v>
      </c>
      <c r="L40" s="178">
        <f>F40/2145.36*100</f>
        <v>-0.6549017414326733</v>
      </c>
      <c r="M40" s="35">
        <f>E40-березень!E40</f>
        <v>0</v>
      </c>
      <c r="N40" s="35">
        <f>F40-березень!F40</f>
        <v>-26.94</v>
      </c>
      <c r="O40" s="47">
        <f t="shared" si="3"/>
        <v>-26.94</v>
      </c>
      <c r="P40" s="50"/>
      <c r="Q40" s="139"/>
      <c r="R40" s="140"/>
    </row>
    <row r="41" spans="1:18" s="6" customFormat="1" ht="15.75">
      <c r="A41" s="8"/>
      <c r="B41" s="60" t="s">
        <v>248</v>
      </c>
      <c r="C41" s="170">
        <v>18050000</v>
      </c>
      <c r="D41" s="43">
        <v>68500</v>
      </c>
      <c r="E41" s="43">
        <v>29040</v>
      </c>
      <c r="F41" s="168">
        <v>26590.71</v>
      </c>
      <c r="G41" s="43">
        <f t="shared" si="0"/>
        <v>-2449.290000000001</v>
      </c>
      <c r="H41" s="35">
        <f t="shared" si="4"/>
        <v>91.56580578512397</v>
      </c>
      <c r="I41" s="50">
        <f t="shared" si="1"/>
        <v>-41909.29</v>
      </c>
      <c r="J41" s="178">
        <f t="shared" si="11"/>
        <v>38.81855474452555</v>
      </c>
      <c r="K41" s="132">
        <f>F41-26561.84</f>
        <v>28.86999999999898</v>
      </c>
      <c r="L41" s="132">
        <f>F41/26561.84*100</f>
        <v>100.10868975944437</v>
      </c>
      <c r="M41" s="35">
        <f>E41-березень!E41</f>
        <v>5800</v>
      </c>
      <c r="N41" s="35">
        <f>F41-березень!F41</f>
        <v>1252.5</v>
      </c>
      <c r="O41" s="47">
        <f t="shared" si="3"/>
        <v>-4547.5</v>
      </c>
      <c r="P41" s="50">
        <f t="shared" si="5"/>
        <v>21.594827586206897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1994.5</v>
      </c>
      <c r="F42" s="168">
        <v>2047.16</v>
      </c>
      <c r="G42" s="43">
        <f t="shared" si="0"/>
        <v>52.66000000000008</v>
      </c>
      <c r="H42" s="35">
        <f t="shared" si="4"/>
        <v>102.64026071697168</v>
      </c>
      <c r="I42" s="50">
        <f t="shared" si="1"/>
        <v>-5452.84</v>
      </c>
      <c r="J42" s="136">
        <f t="shared" si="11"/>
        <v>27.29546666666667</v>
      </c>
      <c r="K42" s="178">
        <f>F42-2618.43</f>
        <v>-571.2699999999998</v>
      </c>
      <c r="L42" s="178">
        <f>F42/2618.43*100</f>
        <v>78.1827278178145</v>
      </c>
      <c r="M42" s="35">
        <f>E42-березень!E42</f>
        <v>9.099999999999909</v>
      </c>
      <c r="N42" s="35">
        <f>F42-березень!F42</f>
        <v>47.25999999999999</v>
      </c>
      <c r="O42" s="47">
        <f t="shared" si="3"/>
        <v>38.16000000000008</v>
      </c>
      <c r="P42" s="50">
        <f t="shared" si="5"/>
        <v>519.3406593406644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D51+D52+D53+D54+D55+D63+D64+D65+D67+D71+D62+D61</f>
        <v>12567.1</v>
      </c>
      <c r="E48" s="18">
        <f>E51+E52+E53+E54+E55+E63+E64+E65+E67+E71+E62+E61</f>
        <v>4088.5</v>
      </c>
      <c r="F48" s="18">
        <f>F51+F52+F53+F54+F55+F63+F64+F65+F67+F71+F62+F61</f>
        <v>8747.01</v>
      </c>
      <c r="G48" s="44">
        <f aca="true" t="shared" si="12" ref="G48:G73">F48-E48</f>
        <v>4658.51</v>
      </c>
      <c r="H48" s="45">
        <f>F48/E48*100</f>
        <v>213.94178794178794</v>
      </c>
      <c r="I48" s="31">
        <f aca="true" t="shared" si="13" ref="I48:I73">F48-D48</f>
        <v>-3820.09</v>
      </c>
      <c r="J48" s="31">
        <f aca="true" t="shared" si="14" ref="J48:J58">F48/D48*100</f>
        <v>69.60245402678422</v>
      </c>
      <c r="K48" s="18">
        <f>K51+K52+K53+K54+K55+K63+K64+K65+K67+K71+K62</f>
        <v>4559.689999999999</v>
      </c>
      <c r="L48" s="18"/>
      <c r="M48" s="18">
        <f>M51+M52+M53+M54+M55+M63+M64+M65+M67+M71+M62+M61</f>
        <v>1052.5</v>
      </c>
      <c r="N48" s="18">
        <f>N51+N52+N53+N54+N55+N63+N64+N65+N67+N71+N62+N61</f>
        <v>1097.7299999999996</v>
      </c>
      <c r="O48" s="49">
        <f aca="true" t="shared" si="15" ref="O48:O73">N48-M48</f>
        <v>45.22999999999956</v>
      </c>
      <c r="P48" s="31">
        <f>N48/M48*100</f>
        <v>104.29738717339663</v>
      </c>
      <c r="Q48" s="31">
        <f>N48-1017.63</f>
        <v>80.09999999999957</v>
      </c>
      <c r="R48" s="127">
        <f>N48/1017.63</f>
        <v>1.0787123021137344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>F49/E49*100</f>
        <v>#REF!</v>
      </c>
      <c r="I49" s="50" t="e">
        <f t="shared" si="13"/>
        <v>#REF!</v>
      </c>
      <c r="J49" s="50" t="e">
        <f t="shared" si="14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5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>F50/E50*100</f>
        <v>#DIV/0!</v>
      </c>
      <c r="I50" s="50" t="e">
        <f t="shared" si="13"/>
        <v>#REF!</v>
      </c>
      <c r="J50" s="50" t="e">
        <f t="shared" si="14"/>
        <v>#REF!</v>
      </c>
      <c r="K50" s="50"/>
      <c r="L50" s="50"/>
      <c r="M50" s="52"/>
      <c r="N50" s="52"/>
      <c r="O50" s="47">
        <f t="shared" si="15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45</v>
      </c>
      <c r="F51" s="143">
        <v>-3.52</v>
      </c>
      <c r="G51" s="43">
        <f t="shared" si="12"/>
        <v>-48.52</v>
      </c>
      <c r="H51" s="35">
        <f>F51/E51*100</f>
        <v>-7.822222222222222</v>
      </c>
      <c r="I51" s="50">
        <f t="shared" si="13"/>
        <v>-203.52</v>
      </c>
      <c r="J51" s="50">
        <f t="shared" si="14"/>
        <v>-1.76</v>
      </c>
      <c r="K51" s="50">
        <f>F51-21.87</f>
        <v>-25.39</v>
      </c>
      <c r="L51" s="50">
        <f>F51/21.87*100</f>
        <v>-16.095107453132144</v>
      </c>
      <c r="M51" s="35">
        <f>E51-березень!E51</f>
        <v>10</v>
      </c>
      <c r="N51" s="35">
        <f>F51-березень!F51</f>
        <v>0.16999999999999993</v>
      </c>
      <c r="O51" s="47">
        <f t="shared" si="15"/>
        <v>-9.83</v>
      </c>
      <c r="P51" s="50">
        <f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68" t="s">
        <v>214</v>
      </c>
      <c r="C52" s="57">
        <v>21050000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/>
      <c r="I52" s="50">
        <f t="shared" si="13"/>
        <v>0</v>
      </c>
      <c r="J52" s="50"/>
      <c r="K52" s="50">
        <f>F52-0</f>
        <v>0</v>
      </c>
      <c r="L52" s="50" t="e">
        <f>F52/0*100</f>
        <v>#DIV/0!</v>
      </c>
      <c r="M52" s="35">
        <f>E52-березень!E60</f>
        <v>0</v>
      </c>
      <c r="N52" s="35">
        <f>F52-березень!F60</f>
        <v>0</v>
      </c>
      <c r="O52" s="47">
        <f t="shared" si="15"/>
        <v>0</v>
      </c>
      <c r="P52" s="50"/>
      <c r="Q52" s="50">
        <f>N52-0</f>
        <v>0</v>
      </c>
      <c r="R52" s="126" t="e">
        <f>N52/0</f>
        <v>#DIV/0!</v>
      </c>
    </row>
    <row r="53" spans="1:18" s="6" customFormat="1" ht="15.75">
      <c r="A53" s="8"/>
      <c r="B53" s="68" t="s">
        <v>169</v>
      </c>
      <c r="C53" s="57">
        <v>21080500</v>
      </c>
      <c r="D53" s="36"/>
      <c r="E53" s="36"/>
      <c r="F53" s="143">
        <v>4.04</v>
      </c>
      <c r="G53" s="43">
        <f t="shared" si="12"/>
        <v>4.04</v>
      </c>
      <c r="H53" s="35"/>
      <c r="I53" s="50">
        <f t="shared" si="13"/>
        <v>4.04</v>
      </c>
      <c r="J53" s="50"/>
      <c r="K53" s="50">
        <f>F53-212.16</f>
        <v>-208.12</v>
      </c>
      <c r="L53" s="50">
        <f>F53/212.16*100</f>
        <v>1.9042232277526396</v>
      </c>
      <c r="M53" s="35">
        <f>E53-березень!E61</f>
        <v>0</v>
      </c>
      <c r="N53" s="35">
        <f>F53-березень!F61</f>
        <v>0</v>
      </c>
      <c r="O53" s="47">
        <f t="shared" si="15"/>
        <v>0</v>
      </c>
      <c r="P53" s="50"/>
      <c r="Q53" s="50">
        <f>N53-4.23</f>
        <v>-4.23</v>
      </c>
      <c r="R53" s="126">
        <f>N53/4.23</f>
        <v>0</v>
      </c>
    </row>
    <row r="54" spans="1:18" s="6" customFormat="1" ht="31.5">
      <c r="A54" s="8"/>
      <c r="B54" s="30" t="s">
        <v>123</v>
      </c>
      <c r="C54" s="94">
        <v>21080900</v>
      </c>
      <c r="D54" s="36">
        <v>6.5</v>
      </c>
      <c r="E54" s="36">
        <v>1.5</v>
      </c>
      <c r="F54" s="143">
        <v>0</v>
      </c>
      <c r="G54" s="43">
        <f t="shared" si="12"/>
        <v>-1.5</v>
      </c>
      <c r="H54" s="35">
        <f>F54/E54*100</f>
        <v>0</v>
      </c>
      <c r="I54" s="50">
        <f t="shared" si="13"/>
        <v>-6.5</v>
      </c>
      <c r="J54" s="50">
        <f t="shared" si="14"/>
        <v>0</v>
      </c>
      <c r="K54" s="50">
        <f>F54-4.08</f>
        <v>-4.08</v>
      </c>
      <c r="L54" s="50">
        <f>F54/4.08*100</f>
        <v>0</v>
      </c>
      <c r="M54" s="35">
        <f>E54-березень!E62</f>
        <v>0.5</v>
      </c>
      <c r="N54" s="35">
        <f>F54-березень!F62</f>
        <v>0</v>
      </c>
      <c r="O54" s="47">
        <f t="shared" si="15"/>
        <v>-0.5</v>
      </c>
      <c r="P54" s="50">
        <f>N54/M54*100</f>
        <v>0</v>
      </c>
      <c r="Q54" s="50">
        <f>N54-0</f>
        <v>0</v>
      </c>
      <c r="R54" s="126"/>
    </row>
    <row r="55" spans="1:18" s="6" customFormat="1" ht="15.75">
      <c r="A55" s="8"/>
      <c r="B55" s="15" t="s">
        <v>90</v>
      </c>
      <c r="C55" s="95">
        <v>21081100</v>
      </c>
      <c r="D55" s="36">
        <v>140</v>
      </c>
      <c r="E55" s="36">
        <v>37</v>
      </c>
      <c r="F55" s="143">
        <v>31.19</v>
      </c>
      <c r="G55" s="43">
        <f t="shared" si="12"/>
        <v>-5.809999999999999</v>
      </c>
      <c r="H55" s="35">
        <f>F55/E55*100</f>
        <v>84.2972972972973</v>
      </c>
      <c r="I55" s="50">
        <f t="shared" si="13"/>
        <v>-108.81</v>
      </c>
      <c r="J55" s="50">
        <v>10</v>
      </c>
      <c r="K55" s="50">
        <f>F55-34.44</f>
        <v>-3.2499999999999964</v>
      </c>
      <c r="L55" s="50">
        <f>F55/34.44*100</f>
        <v>90.56329849012776</v>
      </c>
      <c r="M55" s="35">
        <f>E55-березень!E63</f>
        <v>12</v>
      </c>
      <c r="N55" s="35">
        <f>F55-березень!F63</f>
        <v>0.4299999999999997</v>
      </c>
      <c r="O55" s="47">
        <f t="shared" si="15"/>
        <v>-11.57</v>
      </c>
      <c r="P55" s="50">
        <f>N55/M55*100</f>
        <v>3.583333333333331</v>
      </c>
      <c r="Q55" s="50">
        <f>N55-9.02</f>
        <v>-8.59</v>
      </c>
      <c r="R55" s="126">
        <f>N55/9.02</f>
        <v>0.04767184035476715</v>
      </c>
    </row>
    <row r="56" spans="1:18" s="6" customFormat="1" ht="78.75" hidden="1">
      <c r="A56" s="8"/>
      <c r="B56" s="14" t="s">
        <v>91</v>
      </c>
      <c r="C56" s="59" t="s">
        <v>92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>F56/E56*100</f>
        <v>#DIV/0!</v>
      </c>
      <c r="I56" s="50">
        <f t="shared" si="13"/>
        <v>0</v>
      </c>
      <c r="J56" s="50" t="e">
        <f t="shared" si="14"/>
        <v>#DIV/0!</v>
      </c>
      <c r="K56" s="50">
        <f>F56-19.41</f>
        <v>-19.41</v>
      </c>
      <c r="L56" s="50">
        <f>F56</f>
        <v>0</v>
      </c>
      <c r="M56" s="35">
        <f>E56-березень!E64</f>
        <v>0</v>
      </c>
      <c r="N56" s="35">
        <f>F56-березень!F64</f>
        <v>0</v>
      </c>
      <c r="O56" s="47">
        <f t="shared" si="15"/>
        <v>0</v>
      </c>
      <c r="P56" s="50" t="e">
        <f>N56/M56*100</f>
        <v>#DIV/0!</v>
      </c>
      <c r="Q56" s="50"/>
      <c r="R56" s="126"/>
    </row>
    <row r="57" spans="1:18" s="6" customFormat="1" ht="15.75" hidden="1">
      <c r="A57" s="8"/>
      <c r="B57" s="14" t="s">
        <v>90</v>
      </c>
      <c r="C57" s="59" t="s">
        <v>93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>F57/E57*100</f>
        <v>#DIV/0!</v>
      </c>
      <c r="I57" s="50">
        <f t="shared" si="13"/>
        <v>0</v>
      </c>
      <c r="J57" s="50" t="e">
        <f t="shared" si="14"/>
        <v>#DIV/0!</v>
      </c>
      <c r="K57" s="50">
        <f>F57-19.41</f>
        <v>-19.41</v>
      </c>
      <c r="L57" s="50">
        <f>F57</f>
        <v>0</v>
      </c>
      <c r="M57" s="35">
        <f>E57-березень!E65</f>
        <v>0</v>
      </c>
      <c r="N57" s="35">
        <f>F57-березень!F65</f>
        <v>0</v>
      </c>
      <c r="O57" s="47">
        <f t="shared" si="15"/>
        <v>0</v>
      </c>
      <c r="P57" s="50" t="e">
        <f>N57/M57*100</f>
        <v>#DIV/0!</v>
      </c>
      <c r="Q57" s="50"/>
      <c r="R57" s="126"/>
    </row>
    <row r="58" spans="1:18" s="6" customFormat="1" ht="15.75" hidden="1">
      <c r="A58" s="8"/>
      <c r="B58" s="11" t="s">
        <v>94</v>
      </c>
      <c r="C58" s="57" t="s">
        <v>95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>F58/E58*100</f>
        <v>#DIV/0!</v>
      </c>
      <c r="I58" s="50">
        <f t="shared" si="13"/>
        <v>0</v>
      </c>
      <c r="J58" s="50" t="e">
        <f t="shared" si="14"/>
        <v>#DIV/0!</v>
      </c>
      <c r="K58" s="50">
        <f>F58-19.41</f>
        <v>-19.41</v>
      </c>
      <c r="L58" s="50">
        <f>F58</f>
        <v>0</v>
      </c>
      <c r="M58" s="35">
        <f>E58-березень!E66</f>
        <v>0</v>
      </c>
      <c r="N58" s="35">
        <f>F58-березень!F66</f>
        <v>0</v>
      </c>
      <c r="O58" s="47">
        <f t="shared" si="15"/>
        <v>0</v>
      </c>
      <c r="P58" s="50" t="e">
        <f>N58/M58*100</f>
        <v>#DIV/0!</v>
      </c>
      <c r="Q58" s="50"/>
      <c r="R58" s="126"/>
    </row>
    <row r="59" spans="1:18" s="6" customFormat="1" ht="31.5" hidden="1">
      <c r="A59" s="8"/>
      <c r="B59" s="60" t="s">
        <v>126</v>
      </c>
      <c r="C59" s="57"/>
      <c r="D59" s="36">
        <v>0</v>
      </c>
      <c r="E59" s="36">
        <v>0</v>
      </c>
      <c r="F59" s="143">
        <v>0</v>
      </c>
      <c r="G59" s="43">
        <f t="shared" si="12"/>
        <v>0</v>
      </c>
      <c r="H59" s="35"/>
      <c r="I59" s="50">
        <f t="shared" si="13"/>
        <v>0</v>
      </c>
      <c r="J59" s="50"/>
      <c r="K59" s="50">
        <f>F59-19.41</f>
        <v>-19.41</v>
      </c>
      <c r="L59" s="50">
        <f>F59</f>
        <v>0</v>
      </c>
      <c r="M59" s="35">
        <f>E59-березень!E67</f>
        <v>0</v>
      </c>
      <c r="N59" s="35">
        <f>F59-березень!F67</f>
        <v>0</v>
      </c>
      <c r="O59" s="47">
        <f t="shared" si="15"/>
        <v>0</v>
      </c>
      <c r="P59" s="50"/>
      <c r="Q59" s="50"/>
      <c r="R59" s="126"/>
    </row>
    <row r="60" spans="1:18" s="6" customFormat="1" ht="47.25" hidden="1">
      <c r="A60" s="8"/>
      <c r="B60" s="41" t="s">
        <v>137</v>
      </c>
      <c r="C60" s="96">
        <v>22010900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3"/>
        <v>0</v>
      </c>
      <c r="J60" s="50"/>
      <c r="K60" s="50">
        <f>F60-19.41</f>
        <v>-19.41</v>
      </c>
      <c r="L60" s="50">
        <f>F60</f>
        <v>0</v>
      </c>
      <c r="M60" s="35">
        <f>E60-березень!E68</f>
        <v>0</v>
      </c>
      <c r="N60" s="35">
        <f>F60-березень!F68</f>
        <v>0</v>
      </c>
      <c r="O60" s="47">
        <f t="shared" si="15"/>
        <v>0</v>
      </c>
      <c r="P60" s="50"/>
      <c r="Q60" s="50"/>
      <c r="R60" s="126"/>
    </row>
    <row r="61" spans="1:18" s="6" customFormat="1" ht="47.25">
      <c r="A61" s="8"/>
      <c r="B61" s="15" t="s">
        <v>225</v>
      </c>
      <c r="C61" s="67">
        <v>21081500</v>
      </c>
      <c r="D61" s="36">
        <v>0</v>
      </c>
      <c r="E61" s="36">
        <v>0</v>
      </c>
      <c r="F61" s="143">
        <v>1</v>
      </c>
      <c r="G61" s="43">
        <f>F61-E61</f>
        <v>1</v>
      </c>
      <c r="H61" s="35"/>
      <c r="I61" s="50">
        <f>F61-D61</f>
        <v>1</v>
      </c>
      <c r="J61" s="50"/>
      <c r="K61" s="50">
        <f>F61-0</f>
        <v>1</v>
      </c>
      <c r="L61" s="50"/>
      <c r="M61" s="35">
        <f>E61-березень!E69</f>
        <v>0</v>
      </c>
      <c r="N61" s="35">
        <f>F61-березень!F69</f>
        <v>0</v>
      </c>
      <c r="O61" s="47"/>
      <c r="P61" s="50"/>
      <c r="Q61" s="50"/>
      <c r="R61" s="126"/>
    </row>
    <row r="62" spans="1:18" s="6" customFormat="1" ht="15.75">
      <c r="A62" s="8"/>
      <c r="B62" s="41" t="s">
        <v>222</v>
      </c>
      <c r="C62" s="95">
        <v>22012500</v>
      </c>
      <c r="D62" s="36">
        <v>0</v>
      </c>
      <c r="E62" s="36">
        <v>0</v>
      </c>
      <c r="F62" s="143">
        <v>2692.43</v>
      </c>
      <c r="G62" s="43">
        <f t="shared" si="12"/>
        <v>2692.43</v>
      </c>
      <c r="H62" s="35"/>
      <c r="I62" s="50">
        <f t="shared" si="13"/>
        <v>2692.43</v>
      </c>
      <c r="J62" s="50"/>
      <c r="K62" s="50">
        <f>F62-0</f>
        <v>2692.43</v>
      </c>
      <c r="L62" s="50"/>
      <c r="M62" s="35">
        <f>E62-березень!E70</f>
        <v>0</v>
      </c>
      <c r="N62" s="35">
        <f>F62-березень!F70</f>
        <v>163.8499999999999</v>
      </c>
      <c r="O62" s="47"/>
      <c r="P62" s="50"/>
      <c r="Q62" s="50"/>
      <c r="R62" s="126"/>
    </row>
    <row r="63" spans="1:18" s="6" customFormat="1" ht="31.5">
      <c r="A63" s="8"/>
      <c r="B63" s="15" t="s">
        <v>78</v>
      </c>
      <c r="C63" s="67">
        <v>22080401</v>
      </c>
      <c r="D63" s="36">
        <v>6900</v>
      </c>
      <c r="E63" s="36">
        <v>2420</v>
      </c>
      <c r="F63" s="143">
        <v>2673.7</v>
      </c>
      <c r="G63" s="43">
        <f t="shared" si="12"/>
        <v>253.69999999999982</v>
      </c>
      <c r="H63" s="35">
        <f>F63/E63*100</f>
        <v>110.48347107438016</v>
      </c>
      <c r="I63" s="50">
        <f t="shared" si="13"/>
        <v>-4226.3</v>
      </c>
      <c r="J63" s="50">
        <v>550</v>
      </c>
      <c r="K63" s="50">
        <f>F63-2382.53</f>
        <v>291.1699999999996</v>
      </c>
      <c r="L63" s="50">
        <f>F63/2382.53*100</f>
        <v>112.22104233734727</v>
      </c>
      <c r="M63" s="35">
        <f>E63-березень!E71</f>
        <v>630</v>
      </c>
      <c r="N63" s="35">
        <f>F63-березень!F71</f>
        <v>727.5599999999997</v>
      </c>
      <c r="O63" s="47">
        <f t="shared" si="15"/>
        <v>97.55999999999972</v>
      </c>
      <c r="P63" s="50">
        <f>N63/M63*100</f>
        <v>115.48571428571424</v>
      </c>
      <c r="Q63" s="50">
        <f>N63-647.49</f>
        <v>80.06999999999971</v>
      </c>
      <c r="R63" s="126">
        <f>N63/647.49</f>
        <v>1.1236621415002543</v>
      </c>
    </row>
    <row r="64" spans="1:18" s="6" customFormat="1" ht="15.75">
      <c r="A64" s="8"/>
      <c r="B64" s="15" t="s">
        <v>80</v>
      </c>
      <c r="C64" s="59">
        <v>22090000</v>
      </c>
      <c r="D64" s="36">
        <v>1100</v>
      </c>
      <c r="E64" s="36">
        <v>310</v>
      </c>
      <c r="F64" s="143">
        <v>2331.11</v>
      </c>
      <c r="G64" s="43">
        <f t="shared" si="12"/>
        <v>2021.1100000000001</v>
      </c>
      <c r="H64" s="35">
        <f>F64/E64*100</f>
        <v>751.9709677419355</v>
      </c>
      <c r="I64" s="50">
        <f t="shared" si="13"/>
        <v>1231.1100000000001</v>
      </c>
      <c r="J64" s="50">
        <v>90</v>
      </c>
      <c r="K64" s="50">
        <f>F64-279.59</f>
        <v>2051.52</v>
      </c>
      <c r="L64" s="50">
        <f>F64/279.59*100</f>
        <v>833.7601487892988</v>
      </c>
      <c r="M64" s="35">
        <f>E64-березень!E72</f>
        <v>80</v>
      </c>
      <c r="N64" s="35">
        <f>F64-березень!F72</f>
        <v>149.1300000000001</v>
      </c>
      <c r="O64" s="47">
        <f t="shared" si="15"/>
        <v>69.13000000000011</v>
      </c>
      <c r="P64" s="50">
        <f>N64/M64*100</f>
        <v>186.41250000000014</v>
      </c>
      <c r="Q64" s="50">
        <f>N64-79.51</f>
        <v>69.6200000000001</v>
      </c>
      <c r="R64" s="126">
        <f>N64/79.51</f>
        <v>1.8756131304238473</v>
      </c>
    </row>
    <row r="65" spans="1:18" s="6" customFormat="1" ht="47.25">
      <c r="A65" s="8"/>
      <c r="B65" s="15" t="s">
        <v>96</v>
      </c>
      <c r="C65" s="13" t="s">
        <v>97</v>
      </c>
      <c r="D65" s="36">
        <v>7.6</v>
      </c>
      <c r="E65" s="36">
        <v>0</v>
      </c>
      <c r="F65" s="143">
        <v>0</v>
      </c>
      <c r="G65" s="43">
        <f t="shared" si="12"/>
        <v>0</v>
      </c>
      <c r="H65" s="35"/>
      <c r="I65" s="50">
        <f t="shared" si="13"/>
        <v>-7.6</v>
      </c>
      <c r="J65" s="50"/>
      <c r="K65" s="50">
        <f>F65-0</f>
        <v>0</v>
      </c>
      <c r="L65" s="50"/>
      <c r="M65" s="35">
        <f>E65-березень!E73</f>
        <v>0</v>
      </c>
      <c r="N65" s="35">
        <f>F65-березень!F73</f>
        <v>0</v>
      </c>
      <c r="O65" s="47">
        <f t="shared" si="15"/>
        <v>0</v>
      </c>
      <c r="P65" s="50"/>
      <c r="Q65" s="50">
        <f>N65-0</f>
        <v>0</v>
      </c>
      <c r="R65" s="126"/>
    </row>
    <row r="66" spans="1:18" s="6" customFormat="1" ht="15.75" hidden="1">
      <c r="A66" s="8"/>
      <c r="B66" s="12" t="s">
        <v>73</v>
      </c>
      <c r="C66" s="59" t="s">
        <v>98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3"/>
        <v>0</v>
      </c>
      <c r="J66" s="50" t="e">
        <f>F66/D66*100</f>
        <v>#DIV/0!</v>
      </c>
      <c r="K66" s="50"/>
      <c r="L66" s="50">
        <f>F66</f>
        <v>0</v>
      </c>
      <c r="M66" s="35">
        <f>E66-березень!E74</f>
        <v>0</v>
      </c>
      <c r="N66" s="35">
        <f>F66-березень!F74</f>
        <v>0</v>
      </c>
      <c r="O66" s="47">
        <f t="shared" si="15"/>
        <v>0</v>
      </c>
      <c r="P66" s="50" t="e">
        <f aca="true" t="shared" si="16" ref="P66:P72">N66/M66*100</f>
        <v>#DIV/0!</v>
      </c>
      <c r="Q66" s="50"/>
      <c r="R66" s="126"/>
    </row>
    <row r="67" spans="1:18" s="6" customFormat="1" ht="15.75" customHeight="1">
      <c r="A67" s="8"/>
      <c r="B67" s="14" t="s">
        <v>73</v>
      </c>
      <c r="C67" s="13" t="s">
        <v>99</v>
      </c>
      <c r="D67" s="36">
        <v>4200</v>
      </c>
      <c r="E67" s="36">
        <v>1270</v>
      </c>
      <c r="F67" s="143">
        <v>1017.06</v>
      </c>
      <c r="G67" s="43">
        <f t="shared" si="12"/>
        <v>-252.94000000000005</v>
      </c>
      <c r="H67" s="35">
        <f>F67/E67*100</f>
        <v>80.08346456692912</v>
      </c>
      <c r="I67" s="50">
        <f t="shared" si="13"/>
        <v>-3182.94</v>
      </c>
      <c r="J67" s="50">
        <f>F67/D67*100</f>
        <v>24.215714285714284</v>
      </c>
      <c r="K67" s="50">
        <f>F67-1238.46</f>
        <v>-221.4000000000001</v>
      </c>
      <c r="L67" s="50">
        <f>F67/1238.46*100</f>
        <v>82.12295915895547</v>
      </c>
      <c r="M67" s="35">
        <f>E67-березень!E75</f>
        <v>320</v>
      </c>
      <c r="N67" s="35">
        <f>F67-березень!F75</f>
        <v>56.58999999999992</v>
      </c>
      <c r="O67" s="47">
        <f t="shared" si="15"/>
        <v>-263.4100000000001</v>
      </c>
      <c r="P67" s="50">
        <f t="shared" si="16"/>
        <v>17.684374999999974</v>
      </c>
      <c r="Q67" s="50">
        <f>N67-277.38</f>
        <v>-220.79000000000008</v>
      </c>
      <c r="R67" s="126">
        <f>N67/277.38</f>
        <v>0.2040161511284156</v>
      </c>
    </row>
    <row r="68" spans="1:18" s="6" customFormat="1" ht="31.5" customHeight="1" hidden="1">
      <c r="A68" s="8"/>
      <c r="B68" s="14" t="s">
        <v>100</v>
      </c>
      <c r="C68" s="83" t="s">
        <v>101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 t="e">
        <f>F68/E68*100</f>
        <v>#DIV/0!</v>
      </c>
      <c r="I68" s="50">
        <f t="shared" si="13"/>
        <v>0</v>
      </c>
      <c r="J68" s="50" t="e">
        <f>F68/D68*100</f>
        <v>#DIV/0!</v>
      </c>
      <c r="K68" s="50"/>
      <c r="L68" s="50">
        <f>F68</f>
        <v>0</v>
      </c>
      <c r="M68" s="35">
        <f>E68-березень!E76</f>
        <v>0</v>
      </c>
      <c r="N68" s="35">
        <f>F68-березень!F76</f>
        <v>0</v>
      </c>
      <c r="O68" s="47">
        <f t="shared" si="15"/>
        <v>0</v>
      </c>
      <c r="P68" s="50" t="e">
        <f t="shared" si="16"/>
        <v>#DIV/0!</v>
      </c>
      <c r="Q68" s="50"/>
      <c r="R68" s="126">
        <f>N68/277.38</f>
        <v>0</v>
      </c>
    </row>
    <row r="69" spans="1:18" s="6" customFormat="1" ht="15.75" hidden="1">
      <c r="A69" s="8"/>
      <c r="B69" s="14" t="s">
        <v>102</v>
      </c>
      <c r="C69" s="83" t="s">
        <v>103</v>
      </c>
      <c r="D69" s="36">
        <v>0</v>
      </c>
      <c r="E69" s="36">
        <v>0</v>
      </c>
      <c r="F69" s="143">
        <v>0</v>
      </c>
      <c r="G69" s="43">
        <f t="shared" si="12"/>
        <v>0</v>
      </c>
      <c r="H69" s="35" t="e">
        <f>F69/E69*100</f>
        <v>#DIV/0!</v>
      </c>
      <c r="I69" s="50">
        <f t="shared" si="13"/>
        <v>0</v>
      </c>
      <c r="J69" s="50" t="e">
        <f>F69/D69*100</f>
        <v>#DIV/0!</v>
      </c>
      <c r="K69" s="50"/>
      <c r="L69" s="50">
        <f>F69</f>
        <v>0</v>
      </c>
      <c r="M69" s="35">
        <f>E69-березень!E77</f>
        <v>0</v>
      </c>
      <c r="N69" s="35">
        <f>F69-березень!F77</f>
        <v>0</v>
      </c>
      <c r="O69" s="47">
        <f t="shared" si="15"/>
        <v>0</v>
      </c>
      <c r="P69" s="50" t="e">
        <f t="shared" si="16"/>
        <v>#DIV/0!</v>
      </c>
      <c r="Q69" s="50"/>
      <c r="R69" s="126">
        <f>N69/277.38</f>
        <v>0</v>
      </c>
    </row>
    <row r="70" spans="1:18" s="6" customFormat="1" ht="31.5">
      <c r="A70" s="8"/>
      <c r="B70" s="69" t="s">
        <v>127</v>
      </c>
      <c r="C70" s="83"/>
      <c r="D70" s="135"/>
      <c r="E70" s="135"/>
      <c r="F70" s="144">
        <v>262</v>
      </c>
      <c r="G70" s="135">
        <f t="shared" si="12"/>
        <v>262</v>
      </c>
      <c r="H70" s="137"/>
      <c r="I70" s="136">
        <f t="shared" si="13"/>
        <v>262</v>
      </c>
      <c r="J70" s="136"/>
      <c r="K70" s="136">
        <f>F70-234.45</f>
        <v>27.55000000000001</v>
      </c>
      <c r="L70" s="138">
        <f>F70/234.45*100</f>
        <v>111.75090637662615</v>
      </c>
      <c r="M70" s="35">
        <f>E70-березень!E78</f>
        <v>0</v>
      </c>
      <c r="N70" s="35">
        <f>F70-березень!F78</f>
        <v>22.400000000000006</v>
      </c>
      <c r="O70" s="138">
        <f t="shared" si="15"/>
        <v>22.400000000000006</v>
      </c>
      <c r="P70" s="136"/>
      <c r="Q70" s="50">
        <f>N70-64.93</f>
        <v>-42.53</v>
      </c>
      <c r="R70" s="126">
        <f>N70/64.93</f>
        <v>0.3449869089789004</v>
      </c>
    </row>
    <row r="71" spans="1:18" s="6" customFormat="1" ht="44.25" customHeight="1">
      <c r="A71" s="8"/>
      <c r="B71" s="14" t="s">
        <v>128</v>
      </c>
      <c r="C71" s="59">
        <v>24061900</v>
      </c>
      <c r="D71" s="36">
        <v>13</v>
      </c>
      <c r="E71" s="36">
        <v>5</v>
      </c>
      <c r="F71" s="143">
        <v>0</v>
      </c>
      <c r="G71" s="43">
        <f t="shared" si="12"/>
        <v>-5</v>
      </c>
      <c r="H71" s="35"/>
      <c r="I71" s="50">
        <f t="shared" si="13"/>
        <v>-13</v>
      </c>
      <c r="J71" s="50"/>
      <c r="K71" s="50">
        <f>F71-13.19</f>
        <v>-13.19</v>
      </c>
      <c r="L71" s="50">
        <f>F71/13.19*100</f>
        <v>0</v>
      </c>
      <c r="M71" s="35">
        <f>E71-березень!E79</f>
        <v>0</v>
      </c>
      <c r="N71" s="35">
        <f>F71-березень!F79</f>
        <v>0</v>
      </c>
      <c r="O71" s="47">
        <f t="shared" si="15"/>
        <v>0</v>
      </c>
      <c r="P71" s="50"/>
      <c r="Q71" s="50"/>
      <c r="R71" s="126"/>
    </row>
    <row r="72" spans="1:18" s="6" customFormat="1" ht="31.5">
      <c r="A72" s="8"/>
      <c r="B72" s="14" t="s">
        <v>129</v>
      </c>
      <c r="C72" s="59">
        <v>31010200</v>
      </c>
      <c r="D72" s="36">
        <v>26.5</v>
      </c>
      <c r="E72" s="36">
        <v>8.4</v>
      </c>
      <c r="F72" s="143">
        <v>6.33</v>
      </c>
      <c r="G72" s="43">
        <f t="shared" si="12"/>
        <v>-2.0700000000000003</v>
      </c>
      <c r="H72" s="35">
        <f>F72/E72*100</f>
        <v>75.35714285714286</v>
      </c>
      <c r="I72" s="50">
        <f t="shared" si="13"/>
        <v>-20.17</v>
      </c>
      <c r="J72" s="50">
        <f>F72/D72*100</f>
        <v>23.88679245283019</v>
      </c>
      <c r="K72" s="50">
        <f>F72-9.01</f>
        <v>-2.6799999999999997</v>
      </c>
      <c r="L72" s="50">
        <f>F72/9.01*100</f>
        <v>70.25527192008879</v>
      </c>
      <c r="M72" s="35">
        <f>E72-березень!E80</f>
        <v>2.2</v>
      </c>
      <c r="N72" s="35">
        <f>F72-березень!F80</f>
        <v>0.23000000000000043</v>
      </c>
      <c r="O72" s="47">
        <f t="shared" si="15"/>
        <v>-1.9699999999999998</v>
      </c>
      <c r="P72" s="50">
        <f t="shared" si="16"/>
        <v>10.454545454545473</v>
      </c>
      <c r="Q72" s="50"/>
      <c r="R72" s="126"/>
    </row>
    <row r="73" spans="1:18" s="6" customFormat="1" ht="31.5">
      <c r="A73" s="8"/>
      <c r="B73" s="14" t="s">
        <v>165</v>
      </c>
      <c r="C73" s="59">
        <v>31020000</v>
      </c>
      <c r="D73" s="36">
        <v>0</v>
      </c>
      <c r="E73" s="36">
        <v>0</v>
      </c>
      <c r="F73" s="143">
        <v>0.02</v>
      </c>
      <c r="G73" s="43">
        <f t="shared" si="12"/>
        <v>0.02</v>
      </c>
      <c r="H73" s="35"/>
      <c r="I73" s="50">
        <f t="shared" si="13"/>
        <v>0.02</v>
      </c>
      <c r="J73" s="50"/>
      <c r="K73" s="50">
        <f>F73-0.04</f>
        <v>-0.02</v>
      </c>
      <c r="L73" s="50"/>
      <c r="M73" s="35">
        <f>E73-березень!E81</f>
        <v>0</v>
      </c>
      <c r="N73" s="35">
        <f>F73-березень!F81</f>
        <v>0</v>
      </c>
      <c r="O73" s="47">
        <f t="shared" si="15"/>
        <v>0</v>
      </c>
      <c r="P73" s="50"/>
      <c r="Q73" s="50"/>
      <c r="R73" s="126"/>
    </row>
    <row r="74" spans="1:22" s="6" customFormat="1" ht="18.75">
      <c r="A74" s="9"/>
      <c r="B74" s="17" t="s">
        <v>109</v>
      </c>
      <c r="C74" s="84"/>
      <c r="D74" s="18">
        <f>D8+D48+D72+D73</f>
        <v>530022.6</v>
      </c>
      <c r="E74" s="18">
        <f>E8+E48+E72+E73</f>
        <v>181491.83</v>
      </c>
      <c r="F74" s="18">
        <f>F8+F48+F72+F73</f>
        <v>157436.16</v>
      </c>
      <c r="G74" s="44">
        <f>F74-E74</f>
        <v>-24055.669999999984</v>
      </c>
      <c r="H74" s="45">
        <f>F74/E74*100</f>
        <v>86.74559069683744</v>
      </c>
      <c r="I74" s="31">
        <f>F74-D74</f>
        <v>-372586.43999999994</v>
      </c>
      <c r="J74" s="31">
        <f>F74/D74*100</f>
        <v>29.703669239764498</v>
      </c>
      <c r="K74" s="31">
        <f>K8+K48+K72+K73</f>
        <v>1594.810000000002</v>
      </c>
      <c r="L74" s="31"/>
      <c r="M74" s="18">
        <f>M8+M48+M72+M73</f>
        <v>42791.049999999996</v>
      </c>
      <c r="N74" s="18">
        <f>N8+N48+N72+N73</f>
        <v>10297.980000000001</v>
      </c>
      <c r="O74" s="49">
        <f>N74-M74</f>
        <v>-32493.069999999992</v>
      </c>
      <c r="P74" s="31">
        <f>N74/M74*100</f>
        <v>24.065733371814908</v>
      </c>
      <c r="Q74" s="31">
        <f>N74-34768</f>
        <v>-24470.019999999997</v>
      </c>
      <c r="R74" s="171">
        <f>N74/34768</f>
        <v>0.2961913253566498</v>
      </c>
      <c r="S74" s="172"/>
      <c r="T74" s="166"/>
      <c r="U74" s="175"/>
      <c r="V74" s="175"/>
    </row>
    <row r="75" spans="1:18" s="66" customFormat="1" ht="18.75" hidden="1">
      <c r="A75" s="62"/>
      <c r="B75" s="75" t="s">
        <v>150</v>
      </c>
      <c r="C75" s="85"/>
      <c r="D75" s="64">
        <v>0</v>
      </c>
      <c r="E75" s="112">
        <v>0</v>
      </c>
      <c r="F75" s="112">
        <v>0</v>
      </c>
      <c r="G75" s="102">
        <f>F75-E75</f>
        <v>0</v>
      </c>
      <c r="H75" s="65" t="e">
        <f>F75/E75*100</f>
        <v>#DIV/0!</v>
      </c>
      <c r="I75" s="74">
        <f>F75-D75</f>
        <v>0</v>
      </c>
      <c r="J75" s="46" t="e">
        <f>F75/D75*100</f>
        <v>#DIV/0!</v>
      </c>
      <c r="K75" s="46"/>
      <c r="L75" s="46"/>
      <c r="M75" s="113">
        <f>E75</f>
        <v>0</v>
      </c>
      <c r="N75" s="64"/>
      <c r="O75" s="109">
        <f>N75-M75</f>
        <v>0</v>
      </c>
      <c r="P75" s="46" t="e">
        <f>N75/M75*100</f>
        <v>#DIV/0!</v>
      </c>
      <c r="Q75" s="46"/>
      <c r="R75" s="128"/>
    </row>
    <row r="76" spans="1:18" s="66" customFormat="1" ht="18.75" hidden="1">
      <c r="A76" s="62"/>
      <c r="B76" s="76" t="s">
        <v>152</v>
      </c>
      <c r="C76" s="85"/>
      <c r="D76" s="77">
        <v>1171.6179</v>
      </c>
      <c r="E76" s="64">
        <v>1171.6179</v>
      </c>
      <c r="F76" s="112">
        <f>'[2]січень'!$C$27/1000</f>
        <v>0</v>
      </c>
      <c r="G76" s="55">
        <f>F76-E76</f>
        <v>-1171.6179</v>
      </c>
      <c r="H76" s="65"/>
      <c r="I76" s="78">
        <f>F76-D76</f>
        <v>-1171.6179</v>
      </c>
      <c r="J76" s="46"/>
      <c r="K76" s="46"/>
      <c r="L76" s="46"/>
      <c r="M76" s="35">
        <f>E76</f>
        <v>1171.6179</v>
      </c>
      <c r="N76" s="64">
        <f>F76</f>
        <v>0</v>
      </c>
      <c r="O76" s="79">
        <f>N76-M76</f>
        <v>-1171.6179</v>
      </c>
      <c r="P76" s="46">
        <f>N76/M76*100</f>
        <v>0</v>
      </c>
      <c r="Q76" s="46"/>
      <c r="R76" s="128"/>
    </row>
    <row r="77" spans="1:18" s="66" customFormat="1" ht="37.5" hidden="1">
      <c r="A77" s="62"/>
      <c r="B77" s="76" t="s">
        <v>177</v>
      </c>
      <c r="C77" s="85"/>
      <c r="D77" s="77"/>
      <c r="E77" s="43">
        <v>0</v>
      </c>
      <c r="F77" s="147">
        <v>0</v>
      </c>
      <c r="G77" s="55">
        <f>F77-E77</f>
        <v>0</v>
      </c>
      <c r="H77" s="65"/>
      <c r="I77" s="78"/>
      <c r="J77" s="46"/>
      <c r="K77" s="46"/>
      <c r="L77" s="46"/>
      <c r="M77" s="35">
        <v>0</v>
      </c>
      <c r="N77" s="77">
        <v>0</v>
      </c>
      <c r="O77" s="109">
        <f>N77-M77</f>
        <v>0</v>
      </c>
      <c r="P77" s="46"/>
      <c r="Q77" s="46"/>
      <c r="R77" s="128"/>
    </row>
    <row r="78" spans="2:18" ht="15.75">
      <c r="B78" s="25" t="s">
        <v>110</v>
      </c>
      <c r="C78" s="86"/>
      <c r="D78" s="28"/>
      <c r="E78" s="28"/>
      <c r="F78" s="146"/>
      <c r="G78" s="43"/>
      <c r="H78" s="35"/>
      <c r="I78" s="53"/>
      <c r="J78" s="53"/>
      <c r="K78" s="53"/>
      <c r="L78" s="53"/>
      <c r="M78" s="36"/>
      <c r="N78" s="36"/>
      <c r="O78" s="47"/>
      <c r="P78" s="53"/>
      <c r="Q78" s="53"/>
      <c r="R78" s="129"/>
    </row>
    <row r="79" spans="2:18" ht="31.5">
      <c r="B79" s="26" t="s">
        <v>170</v>
      </c>
      <c r="C79" s="97">
        <v>18041500</v>
      </c>
      <c r="D79" s="28">
        <v>0</v>
      </c>
      <c r="E79" s="28">
        <v>0</v>
      </c>
      <c r="F79" s="146">
        <v>-14.65</v>
      </c>
      <c r="G79" s="43">
        <f aca="true" t="shared" si="17" ref="G79:G87">F79-E79</f>
        <v>-14.65</v>
      </c>
      <c r="H79" s="35"/>
      <c r="I79" s="53">
        <f aca="true" t="shared" si="18" ref="I79:I86">F79-D79</f>
        <v>-14.65</v>
      </c>
      <c r="J79" s="53"/>
      <c r="K79" s="47">
        <f>F79-96.53</f>
        <v>-111.18</v>
      </c>
      <c r="L79" s="53"/>
      <c r="M79" s="35">
        <f>E79-березень!E87</f>
        <v>0</v>
      </c>
      <c r="N79" s="35">
        <f>F79-березень!F87</f>
        <v>0</v>
      </c>
      <c r="O79" s="47">
        <f aca="true" t="shared" si="19" ref="O79:O87">N79-M79</f>
        <v>0</v>
      </c>
      <c r="P79" s="53"/>
      <c r="Q79" s="53">
        <f>N79-24.53</f>
        <v>-24.53</v>
      </c>
      <c r="R79" s="129">
        <f>N79/24.53</f>
        <v>0</v>
      </c>
    </row>
    <row r="80" spans="2:18" ht="15.75">
      <c r="B80" s="32" t="s">
        <v>130</v>
      </c>
      <c r="C80" s="98"/>
      <c r="D80" s="33">
        <f>D79</f>
        <v>0</v>
      </c>
      <c r="E80" s="33">
        <f>E79</f>
        <v>0</v>
      </c>
      <c r="F80" s="145">
        <f>SUM(F79:F79)</f>
        <v>-14.65</v>
      </c>
      <c r="G80" s="55">
        <f t="shared" si="17"/>
        <v>-14.65</v>
      </c>
      <c r="H80" s="65"/>
      <c r="I80" s="54">
        <f t="shared" si="18"/>
        <v>-14.65</v>
      </c>
      <c r="J80" s="54"/>
      <c r="K80" s="54">
        <f>F80-(-111.2)</f>
        <v>96.55</v>
      </c>
      <c r="L80" s="54">
        <f>F80/223.32*100</f>
        <v>-6.5600931398889495</v>
      </c>
      <c r="M80" s="55">
        <f>M79</f>
        <v>0</v>
      </c>
      <c r="N80" s="33">
        <f>SUM(N79:N79)</f>
        <v>0</v>
      </c>
      <c r="O80" s="54">
        <f t="shared" si="19"/>
        <v>0</v>
      </c>
      <c r="P80" s="54"/>
      <c r="Q80" s="54">
        <f>N80-92.85</f>
        <v>-92.85</v>
      </c>
      <c r="R80" s="130">
        <f>N80/92.85</f>
        <v>0</v>
      </c>
    </row>
    <row r="81" spans="2:18" ht="47.25" hidden="1">
      <c r="B81" s="26" t="s">
        <v>121</v>
      </c>
      <c r="C81" s="98">
        <v>21110000</v>
      </c>
      <c r="D81" s="28">
        <v>0</v>
      </c>
      <c r="E81" s="28"/>
      <c r="F81" s="146">
        <v>0</v>
      </c>
      <c r="G81" s="43">
        <f t="shared" si="17"/>
        <v>0</v>
      </c>
      <c r="H81" s="35" t="e">
        <f aca="true" t="shared" si="20" ref="H81:H87">F81/E81*100</f>
        <v>#DIV/0!</v>
      </c>
      <c r="I81" s="53">
        <f t="shared" si="18"/>
        <v>0</v>
      </c>
      <c r="J81" s="53" t="e">
        <f aca="true" t="shared" si="21" ref="J81:J86">F81/D81*100</f>
        <v>#DIV/0!</v>
      </c>
      <c r="K81" s="53"/>
      <c r="L81" s="53"/>
      <c r="M81" s="36">
        <v>0</v>
      </c>
      <c r="N81" s="36">
        <f>F81</f>
        <v>0</v>
      </c>
      <c r="O81" s="47">
        <f t="shared" si="19"/>
        <v>0</v>
      </c>
      <c r="P81" s="53"/>
      <c r="Q81" s="53"/>
      <c r="R81" s="129"/>
    </row>
    <row r="82" spans="2:18" ht="31.5">
      <c r="B82" s="26" t="s">
        <v>111</v>
      </c>
      <c r="C82" s="97">
        <v>31030000</v>
      </c>
      <c r="D82" s="167">
        <v>2500</v>
      </c>
      <c r="E82" s="28">
        <v>70</v>
      </c>
      <c r="F82" s="146">
        <v>33.49</v>
      </c>
      <c r="G82" s="43">
        <f t="shared" si="17"/>
        <v>-36.51</v>
      </c>
      <c r="H82" s="35"/>
      <c r="I82" s="53">
        <f t="shared" si="18"/>
        <v>-2466.51</v>
      </c>
      <c r="J82" s="53">
        <f t="shared" si="21"/>
        <v>1.3396000000000001</v>
      </c>
      <c r="K82" s="53">
        <f>F82-1435</f>
        <v>-1401.51</v>
      </c>
      <c r="L82" s="53">
        <f>F82/1435*100</f>
        <v>2.3337979094076657</v>
      </c>
      <c r="M82" s="35">
        <f>E82-березень!E90</f>
        <v>70</v>
      </c>
      <c r="N82" s="35">
        <f>F82-березень!F90</f>
        <v>0.020000000000003126</v>
      </c>
      <c r="O82" s="47">
        <f t="shared" si="19"/>
        <v>-69.97999999999999</v>
      </c>
      <c r="P82" s="53"/>
      <c r="Q82" s="53">
        <f>N82-0.04</f>
        <v>-0.019999999999996874</v>
      </c>
      <c r="R82" s="129">
        <f>N82/0.04</f>
        <v>0.5000000000000782</v>
      </c>
    </row>
    <row r="83" spans="2:18" ht="15.75">
      <c r="B83" s="26" t="s">
        <v>112</v>
      </c>
      <c r="C83" s="97">
        <v>33010000</v>
      </c>
      <c r="D83" s="167">
        <v>11576</v>
      </c>
      <c r="E83" s="28">
        <v>1498.98</v>
      </c>
      <c r="F83" s="146">
        <v>1409.78</v>
      </c>
      <c r="G83" s="43">
        <f t="shared" si="17"/>
        <v>-89.20000000000005</v>
      </c>
      <c r="H83" s="35">
        <f t="shared" si="20"/>
        <v>94.04928684839024</v>
      </c>
      <c r="I83" s="53">
        <f t="shared" si="18"/>
        <v>-10166.22</v>
      </c>
      <c r="J83" s="53">
        <f t="shared" si="21"/>
        <v>12.178472702142363</v>
      </c>
      <c r="K83" s="53">
        <f>F83-1487.49</f>
        <v>-77.71000000000004</v>
      </c>
      <c r="L83" s="53">
        <f>F83/1487.49*100</f>
        <v>94.77576319840806</v>
      </c>
      <c r="M83" s="35">
        <f>E83-березень!E91</f>
        <v>960.85</v>
      </c>
      <c r="N83" s="35">
        <f>F83-березень!F91</f>
        <v>0</v>
      </c>
      <c r="O83" s="47">
        <f t="shared" si="19"/>
        <v>-960.85</v>
      </c>
      <c r="P83" s="53">
        <f>N83/M83*100</f>
        <v>0</v>
      </c>
      <c r="Q83" s="53">
        <f>N83-450.01</f>
        <v>-450.01</v>
      </c>
      <c r="R83" s="129">
        <f>N83/450.01</f>
        <v>0</v>
      </c>
    </row>
    <row r="84" spans="2:18" ht="31.5">
      <c r="B84" s="26" t="s">
        <v>156</v>
      </c>
      <c r="C84" s="97">
        <v>24170000</v>
      </c>
      <c r="D84" s="167">
        <v>3000</v>
      </c>
      <c r="E84" s="28">
        <v>444.3</v>
      </c>
      <c r="F84" s="146">
        <v>11.28</v>
      </c>
      <c r="G84" s="43">
        <f t="shared" si="17"/>
        <v>-433.02000000000004</v>
      </c>
      <c r="H84" s="35">
        <f t="shared" si="20"/>
        <v>2.5388251181634027</v>
      </c>
      <c r="I84" s="53">
        <f t="shared" si="18"/>
        <v>-2988.72</v>
      </c>
      <c r="J84" s="53">
        <f t="shared" si="21"/>
        <v>0.376</v>
      </c>
      <c r="K84" s="53">
        <f>F84-577.27</f>
        <v>-565.99</v>
      </c>
      <c r="L84" s="53">
        <f>F84/577.27*100</f>
        <v>1.954024979645573</v>
      </c>
      <c r="M84" s="35">
        <f>E84-березень!E92</f>
        <v>148.10000000000002</v>
      </c>
      <c r="N84" s="35">
        <f>F84-березень!F92</f>
        <v>0.21999999999999886</v>
      </c>
      <c r="O84" s="47">
        <f t="shared" si="19"/>
        <v>-147.88000000000002</v>
      </c>
      <c r="P84" s="53">
        <f>N84/M84*100</f>
        <v>0.14854827819041108</v>
      </c>
      <c r="Q84" s="53">
        <f>N84-1.05</f>
        <v>-0.8300000000000012</v>
      </c>
      <c r="R84" s="129">
        <f>N84/1.05</f>
        <v>0.20952380952380842</v>
      </c>
    </row>
    <row r="85" spans="2:19" ht="34.5">
      <c r="B85" s="32" t="s">
        <v>144</v>
      </c>
      <c r="C85" s="87"/>
      <c r="D85" s="33">
        <f>D82+D83+D84</f>
        <v>17076</v>
      </c>
      <c r="E85" s="33">
        <f>E82+E83+E84</f>
        <v>2013.28</v>
      </c>
      <c r="F85" s="145">
        <f>F82+F83+F84</f>
        <v>1454.55</v>
      </c>
      <c r="G85" s="55">
        <f t="shared" si="17"/>
        <v>-558.73</v>
      </c>
      <c r="H85" s="65">
        <f t="shared" si="20"/>
        <v>72.24777477549074</v>
      </c>
      <c r="I85" s="54">
        <f t="shared" si="18"/>
        <v>-15621.45</v>
      </c>
      <c r="J85" s="54">
        <f t="shared" si="21"/>
        <v>8.51809557273366</v>
      </c>
      <c r="K85" s="54">
        <f>F85-3499.76</f>
        <v>-2045.2100000000003</v>
      </c>
      <c r="L85" s="54">
        <f>F85/3499.96*100</f>
        <v>41.55904638910159</v>
      </c>
      <c r="M85" s="55">
        <f>M82+M83+M84</f>
        <v>1178.9499999999998</v>
      </c>
      <c r="N85" s="55">
        <f>N82+N83+N84</f>
        <v>0.240000000000002</v>
      </c>
      <c r="O85" s="54">
        <f t="shared" si="19"/>
        <v>-1178.7099999999998</v>
      </c>
      <c r="P85" s="54">
        <f>N85/M85*100</f>
        <v>0.020357097417193437</v>
      </c>
      <c r="Q85" s="54">
        <f>N85-7985.28</f>
        <v>-7985.04</v>
      </c>
      <c r="R85" s="173">
        <f>N85/7985.28</f>
        <v>3.0055301755229873E-05</v>
      </c>
      <c r="S85" s="174"/>
    </row>
    <row r="86" spans="2:18" ht="47.25">
      <c r="B86" s="14" t="s">
        <v>124</v>
      </c>
      <c r="C86" s="100">
        <v>24062100</v>
      </c>
      <c r="D86" s="167">
        <v>35</v>
      </c>
      <c r="E86" s="28">
        <v>9</v>
      </c>
      <c r="F86" s="146">
        <v>0</v>
      </c>
      <c r="G86" s="43">
        <f t="shared" si="17"/>
        <v>-9</v>
      </c>
      <c r="H86" s="35"/>
      <c r="I86" s="53">
        <f t="shared" si="18"/>
        <v>-35</v>
      </c>
      <c r="J86" s="53">
        <f t="shared" si="21"/>
        <v>0</v>
      </c>
      <c r="K86" s="53">
        <f>F86-9.65</f>
        <v>-9.65</v>
      </c>
      <c r="L86" s="53">
        <f>F86/9.65*100</f>
        <v>0</v>
      </c>
      <c r="M86" s="35">
        <f>E86-березень!E94</f>
        <v>5</v>
      </c>
      <c r="N86" s="35">
        <f>F86-березень!F94</f>
        <v>0</v>
      </c>
      <c r="O86" s="47">
        <f t="shared" si="19"/>
        <v>-5</v>
      </c>
      <c r="P86" s="53"/>
      <c r="Q86" s="53">
        <f>N86-0.16</f>
        <v>-0.16</v>
      </c>
      <c r="R86" s="129">
        <f>N86/0.16</f>
        <v>0</v>
      </c>
    </row>
    <row r="87" spans="2:18" ht="15.75" hidden="1">
      <c r="B87" s="37"/>
      <c r="C87" s="100">
        <v>24062100</v>
      </c>
      <c r="D87" s="28">
        <v>0</v>
      </c>
      <c r="E87" s="28">
        <v>0</v>
      </c>
      <c r="F87" s="146">
        <v>0</v>
      </c>
      <c r="G87" s="43">
        <f t="shared" si="17"/>
        <v>0</v>
      </c>
      <c r="H87" s="35" t="e">
        <f t="shared" si="20"/>
        <v>#DIV/0!</v>
      </c>
      <c r="I87" s="56"/>
      <c r="J87" s="56"/>
      <c r="K87" s="56"/>
      <c r="L87" s="53">
        <f>F87</f>
        <v>0</v>
      </c>
      <c r="M87" s="35">
        <f>E87-березень!E95</f>
        <v>0</v>
      </c>
      <c r="N87" s="35">
        <f>F87-березень!F95</f>
        <v>0</v>
      </c>
      <c r="O87" s="47">
        <f t="shared" si="19"/>
        <v>0</v>
      </c>
      <c r="P87" s="56"/>
      <c r="Q87" s="56"/>
      <c r="R87" s="131"/>
    </row>
    <row r="88" spans="2:18" ht="15.75">
      <c r="B88" s="26" t="s">
        <v>146</v>
      </c>
      <c r="C88" s="97">
        <v>24061600</v>
      </c>
      <c r="D88" s="167">
        <v>19</v>
      </c>
      <c r="E88" s="28">
        <v>10</v>
      </c>
      <c r="F88" s="146">
        <v>0</v>
      </c>
      <c r="G88" s="43"/>
      <c r="H88" s="35"/>
      <c r="I88" s="56"/>
      <c r="J88" s="56"/>
      <c r="K88" s="47">
        <f>F88-17.76</f>
        <v>-17.76</v>
      </c>
      <c r="L88" s="53">
        <f>F88/17.76*100</f>
        <v>0</v>
      </c>
      <c r="M88" s="35">
        <f>E88-березень!E96</f>
        <v>10</v>
      </c>
      <c r="N88" s="35">
        <f>F88-березень!F96</f>
        <v>0</v>
      </c>
      <c r="O88" s="47"/>
      <c r="P88" s="56"/>
      <c r="Q88" s="56">
        <f>N88-8.76</f>
        <v>-8.76</v>
      </c>
      <c r="R88" s="131">
        <f>N88/8.76</f>
        <v>0</v>
      </c>
    </row>
    <row r="89" spans="2:18" ht="31.5">
      <c r="B89" s="26" t="s">
        <v>140</v>
      </c>
      <c r="C89" s="97">
        <v>19050000</v>
      </c>
      <c r="D89" s="28">
        <v>0</v>
      </c>
      <c r="E89" s="28">
        <v>0</v>
      </c>
      <c r="F89" s="146">
        <v>0.58</v>
      </c>
      <c r="G89" s="43">
        <f>F89-E89</f>
        <v>0.58</v>
      </c>
      <c r="H89" s="35"/>
      <c r="I89" s="53">
        <f>F89-D89</f>
        <v>0.58</v>
      </c>
      <c r="J89" s="53"/>
      <c r="K89" s="53">
        <f>F89-(-0.27)</f>
        <v>0.85</v>
      </c>
      <c r="L89" s="53">
        <f>F89/(-0.27)*100</f>
        <v>-214.81481481481478</v>
      </c>
      <c r="M89" s="35">
        <f>E89-березень!E97</f>
        <v>0</v>
      </c>
      <c r="N89" s="35">
        <f>F89-березень!F97</f>
        <v>0</v>
      </c>
      <c r="O89" s="47">
        <f>N89-M89</f>
        <v>0</v>
      </c>
      <c r="P89" s="53"/>
      <c r="Q89" s="53">
        <f>N89-(-0.21)</f>
        <v>0.21</v>
      </c>
      <c r="R89" s="129"/>
    </row>
    <row r="90" spans="2:18" ht="31.5">
      <c r="B90" s="32" t="s">
        <v>134</v>
      </c>
      <c r="C90" s="97"/>
      <c r="D90" s="33">
        <f>D86+D89+D88</f>
        <v>54</v>
      </c>
      <c r="E90" s="33">
        <f>E86+E89+E88</f>
        <v>19</v>
      </c>
      <c r="F90" s="145">
        <f>F86+F89+F88</f>
        <v>0.58</v>
      </c>
      <c r="G90" s="55">
        <f>F90-E90</f>
        <v>-18.42</v>
      </c>
      <c r="H90" s="65"/>
      <c r="I90" s="54">
        <f>F90-D90</f>
        <v>-53.42</v>
      </c>
      <c r="J90" s="54">
        <f>F90/D90*100</f>
        <v>1.074074074074074</v>
      </c>
      <c r="K90" s="54">
        <f>F90-27.14</f>
        <v>-26.560000000000002</v>
      </c>
      <c r="L90" s="54">
        <f>F90/27.14*100</f>
        <v>2.1370670596904935</v>
      </c>
      <c r="M90" s="55">
        <f>M86+M89+M88</f>
        <v>15</v>
      </c>
      <c r="N90" s="55">
        <f>N86+N89+N88</f>
        <v>0</v>
      </c>
      <c r="O90" s="54">
        <f>N90-M90</f>
        <v>-15</v>
      </c>
      <c r="P90" s="54"/>
      <c r="Q90" s="54">
        <f>N90-26.38</f>
        <v>-26.38</v>
      </c>
      <c r="R90" s="128">
        <f>N90/26.38</f>
        <v>0</v>
      </c>
    </row>
    <row r="91" spans="2:18" ht="31.5">
      <c r="B91" s="14" t="s">
        <v>125</v>
      </c>
      <c r="C91" s="59">
        <v>24110900</v>
      </c>
      <c r="D91" s="167">
        <v>42</v>
      </c>
      <c r="E91" s="28">
        <v>12.79</v>
      </c>
      <c r="F91" s="146">
        <v>12.95</v>
      </c>
      <c r="G91" s="43">
        <f>F91-E91</f>
        <v>0.16000000000000014</v>
      </c>
      <c r="H91" s="35">
        <f>F91/E91*100</f>
        <v>101.25097732603597</v>
      </c>
      <c r="I91" s="53">
        <f>F91-D91</f>
        <v>-29.05</v>
      </c>
      <c r="J91" s="53">
        <f>F91/D91*100</f>
        <v>30.83333333333333</v>
      </c>
      <c r="K91" s="53">
        <f>F91-12.19</f>
        <v>0.7599999999999998</v>
      </c>
      <c r="L91" s="53">
        <f>F91/12.19*100</f>
        <v>106.23461853978671</v>
      </c>
      <c r="M91" s="35">
        <f>E91-березень!E99</f>
        <v>1.1999999999999993</v>
      </c>
      <c r="N91" s="35">
        <f>F91-березень!F99</f>
        <v>0</v>
      </c>
      <c r="O91" s="47">
        <f>N91-M91</f>
        <v>-1.1999999999999993</v>
      </c>
      <c r="P91" s="53">
        <f>N91/M91*100</f>
        <v>0</v>
      </c>
      <c r="Q91" s="53">
        <f>N91-0.45</f>
        <v>-0.45</v>
      </c>
      <c r="R91" s="129">
        <f>N91/0.45</f>
        <v>0</v>
      </c>
    </row>
    <row r="92" spans="2:18" ht="23.25" customHeight="1">
      <c r="B92" s="17" t="s">
        <v>114</v>
      </c>
      <c r="C92" s="88"/>
      <c r="D92" s="27">
        <f>D80+D91+D85+D90</f>
        <v>17172</v>
      </c>
      <c r="E92" s="27">
        <f>E80+E91+E85+E90</f>
        <v>2045.07</v>
      </c>
      <c r="F92" s="27">
        <f>F80+F91+F85+F90</f>
        <v>1453.4299999999998</v>
      </c>
      <c r="G92" s="44">
        <f>F92-E92</f>
        <v>-591.6400000000001</v>
      </c>
      <c r="H92" s="45">
        <f>F92/E92*100</f>
        <v>71.06993892629592</v>
      </c>
      <c r="I92" s="31">
        <f>F92-D92</f>
        <v>-15718.57</v>
      </c>
      <c r="J92" s="31">
        <f>F92/D92*100</f>
        <v>8.463952946657347</v>
      </c>
      <c r="K92" s="31">
        <f>K80+K85+K90+K91</f>
        <v>-1974.4600000000003</v>
      </c>
      <c r="L92" s="31"/>
      <c r="M92" s="27">
        <f>M80+M91+M85+M90</f>
        <v>1195.1499999999999</v>
      </c>
      <c r="N92" s="27">
        <f>N80+N91+N85+N90</f>
        <v>0.240000000000002</v>
      </c>
      <c r="O92" s="31">
        <f>N92-M92</f>
        <v>-1194.9099999999999</v>
      </c>
      <c r="P92" s="31">
        <f>N92/M92*100</f>
        <v>0.02008116136049885</v>
      </c>
      <c r="Q92" s="31">
        <f>N92-8104.96</f>
        <v>-8104.72</v>
      </c>
      <c r="R92" s="127">
        <f>N92/8104.96</f>
        <v>2.961149715729652E-05</v>
      </c>
    </row>
    <row r="93" spans="2:18" ht="18.75">
      <c r="B93" s="24" t="s">
        <v>115</v>
      </c>
      <c r="C93" s="88"/>
      <c r="D93" s="27">
        <f>D74+D92</f>
        <v>547194.6</v>
      </c>
      <c r="E93" s="27">
        <f>E74+E92</f>
        <v>183536.9</v>
      </c>
      <c r="F93" s="27">
        <f>F74+F92</f>
        <v>158889.59</v>
      </c>
      <c r="G93" s="44">
        <f>F93-E93</f>
        <v>-24647.309999999998</v>
      </c>
      <c r="H93" s="45">
        <f>F93/E93*100</f>
        <v>86.57092388506071</v>
      </c>
      <c r="I93" s="31">
        <f>F93-D93</f>
        <v>-388305.01</v>
      </c>
      <c r="J93" s="31">
        <f>F93/D93*100</f>
        <v>29.03712682837148</v>
      </c>
      <c r="K93" s="31">
        <f>K74+K92</f>
        <v>-379.6499999999983</v>
      </c>
      <c r="L93" s="31"/>
      <c r="M93" s="18">
        <f>M74+M92</f>
        <v>43986.2</v>
      </c>
      <c r="N93" s="18">
        <f>N74+N92</f>
        <v>10298.220000000001</v>
      </c>
      <c r="O93" s="31">
        <f>N93-M93</f>
        <v>-33687.979999999996</v>
      </c>
      <c r="P93" s="31">
        <f>N93/M93*100</f>
        <v>23.412388430916977</v>
      </c>
      <c r="Q93" s="31">
        <f>N93-42872.96</f>
        <v>-32574.739999999998</v>
      </c>
      <c r="R93" s="127">
        <f>N93/42872.96</f>
        <v>0.24020314902446674</v>
      </c>
    </row>
    <row r="94" spans="2:14" ht="15.75">
      <c r="B94" s="23" t="s">
        <v>117</v>
      </c>
      <c r="N94" s="29"/>
    </row>
    <row r="95" spans="2:4" ht="15.75">
      <c r="B95" s="4" t="s">
        <v>119</v>
      </c>
      <c r="C95" s="101">
        <v>16</v>
      </c>
      <c r="D95" s="4" t="s">
        <v>118</v>
      </c>
    </row>
    <row r="96" spans="2:17" ht="31.5">
      <c r="B96" s="71" t="s">
        <v>154</v>
      </c>
      <c r="C96" s="34">
        <f>IF(O74&lt;0,ABS(O74/C95),0)</f>
        <v>2030.8168749999995</v>
      </c>
      <c r="D96" s="4" t="s">
        <v>104</v>
      </c>
      <c r="G96" s="199"/>
      <c r="H96" s="199"/>
      <c r="I96" s="199"/>
      <c r="J96" s="199"/>
      <c r="K96" s="115"/>
      <c r="L96" s="115"/>
      <c r="P96" s="29"/>
      <c r="Q96" s="29"/>
    </row>
    <row r="97" spans="2:15" ht="34.5" customHeight="1">
      <c r="B97" s="72" t="s">
        <v>159</v>
      </c>
      <c r="C97" s="111">
        <v>42101</v>
      </c>
      <c r="D97" s="34">
        <v>3252.2</v>
      </c>
      <c r="N97" s="194"/>
      <c r="O97" s="194"/>
    </row>
    <row r="98" spans="3:15" ht="15.75">
      <c r="C98" s="111">
        <v>42100</v>
      </c>
      <c r="D98" s="34">
        <v>2711</v>
      </c>
      <c r="F98" s="155" t="s">
        <v>166</v>
      </c>
      <c r="G98" s="185"/>
      <c r="H98" s="185"/>
      <c r="I98" s="177"/>
      <c r="J98" s="192"/>
      <c r="K98" s="192"/>
      <c r="L98" s="192"/>
      <c r="M98" s="192"/>
      <c r="N98" s="194"/>
      <c r="O98" s="194"/>
    </row>
    <row r="99" spans="3:15" ht="15.75" customHeight="1">
      <c r="C99" s="111">
        <v>42097</v>
      </c>
      <c r="D99" s="34">
        <v>1856</v>
      </c>
      <c r="G99" s="191" t="s">
        <v>151</v>
      </c>
      <c r="H99" s="191"/>
      <c r="I99" s="106">
        <v>8909.73221</v>
      </c>
      <c r="J99" s="193"/>
      <c r="K99" s="193"/>
      <c r="L99" s="193"/>
      <c r="M99" s="193"/>
      <c r="N99" s="194"/>
      <c r="O99" s="194"/>
    </row>
    <row r="100" spans="7:13" ht="15.75" customHeight="1">
      <c r="G100" s="195" t="s">
        <v>234</v>
      </c>
      <c r="H100" s="196"/>
      <c r="I100" s="103">
        <v>0</v>
      </c>
      <c r="J100" s="192"/>
      <c r="K100" s="192"/>
      <c r="L100" s="192"/>
      <c r="M100" s="192"/>
    </row>
    <row r="101" spans="2:13" ht="18.75" customHeight="1">
      <c r="B101" s="189" t="s">
        <v>160</v>
      </c>
      <c r="C101" s="190"/>
      <c r="D101" s="108">
        <v>147250.85692</v>
      </c>
      <c r="E101" s="73"/>
      <c r="F101" s="156" t="s">
        <v>147</v>
      </c>
      <c r="G101" s="191" t="s">
        <v>149</v>
      </c>
      <c r="H101" s="191"/>
      <c r="I101" s="107">
        <v>138341.12470999997</v>
      </c>
      <c r="J101" s="192"/>
      <c r="K101" s="192"/>
      <c r="L101" s="192"/>
      <c r="M101" s="192"/>
    </row>
    <row r="102" spans="7:12" ht="9.75" customHeight="1">
      <c r="G102" s="185"/>
      <c r="H102" s="185"/>
      <c r="I102" s="90"/>
      <c r="J102" s="91"/>
      <c r="K102" s="91"/>
      <c r="L102" s="91"/>
    </row>
    <row r="103" spans="2:12" ht="22.5" customHeight="1" hidden="1">
      <c r="B103" s="186" t="s">
        <v>167</v>
      </c>
      <c r="C103" s="187"/>
      <c r="D103" s="110">
        <v>0</v>
      </c>
      <c r="E103" s="70" t="s">
        <v>104</v>
      </c>
      <c r="G103" s="185"/>
      <c r="H103" s="185"/>
      <c r="I103" s="90"/>
      <c r="J103" s="91"/>
      <c r="K103" s="91"/>
      <c r="L103" s="91"/>
    </row>
    <row r="104" spans="4:15" ht="15.75">
      <c r="D104" s="105"/>
      <c r="N104" s="185"/>
      <c r="O104" s="185"/>
    </row>
    <row r="105" spans="4:15" ht="15.75">
      <c r="D105" s="104"/>
      <c r="I105" s="34"/>
      <c r="N105" s="188"/>
      <c r="O105" s="188"/>
    </row>
    <row r="106" spans="14:15" ht="15.75">
      <c r="N106" s="185"/>
      <c r="O106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96:J96"/>
    <mergeCell ref="N97:O97"/>
    <mergeCell ref="G98:H98"/>
    <mergeCell ref="J98:M98"/>
    <mergeCell ref="N98:O98"/>
    <mergeCell ref="J4:J5"/>
    <mergeCell ref="N4:N5"/>
    <mergeCell ref="O4:O5"/>
    <mergeCell ref="P4:P5"/>
    <mergeCell ref="G99:H99"/>
    <mergeCell ref="J99:M99"/>
    <mergeCell ref="N99:O99"/>
    <mergeCell ref="G100:H100"/>
    <mergeCell ref="J100:M100"/>
    <mergeCell ref="B101:C101"/>
    <mergeCell ref="G101:H101"/>
    <mergeCell ref="J101:M101"/>
    <mergeCell ref="G102:H102"/>
    <mergeCell ref="N106:O106"/>
    <mergeCell ref="B103:C103"/>
    <mergeCell ref="G103:H103"/>
    <mergeCell ref="N104:O104"/>
    <mergeCell ref="N105:O105"/>
  </mergeCells>
  <printOptions/>
  <pageMargins left="0.15" right="0.18" top="0.36" bottom="0.34" header="0.24" footer="0.29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/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231</v>
      </c>
      <c r="N3" s="220" t="s">
        <v>232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228</v>
      </c>
      <c r="F4" s="207" t="s">
        <v>116</v>
      </c>
      <c r="G4" s="209" t="s">
        <v>229</v>
      </c>
      <c r="H4" s="211" t="s">
        <v>230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236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12"/>
      <c r="I5" s="205"/>
      <c r="J5" s="201"/>
      <c r="K5" s="197" t="s">
        <v>233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4"/>
      <c r="O105" s="194"/>
    </row>
    <row r="106" spans="3:15" ht="15.75">
      <c r="C106" s="111">
        <v>42093</v>
      </c>
      <c r="D106" s="34">
        <v>8025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42090</v>
      </c>
      <c r="D107" s="34">
        <v>4282.6</v>
      </c>
      <c r="G107" s="191" t="s">
        <v>151</v>
      </c>
      <c r="H107" s="191"/>
      <c r="I107" s="106">
        <f>8909732.21/1000</f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195" t="s">
        <v>234</v>
      </c>
      <c r="H108" s="196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f>147433239.77/1000</f>
        <v>147433.23977000001</v>
      </c>
      <c r="E109" s="73"/>
      <c r="F109" s="156" t="s">
        <v>147</v>
      </c>
      <c r="G109" s="191" t="s">
        <v>149</v>
      </c>
      <c r="H109" s="191"/>
      <c r="I109" s="107">
        <f>138523507.56/1000</f>
        <v>138523.50756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8" sqref="F7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 t="s">
        <v>205</v>
      </c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221</v>
      </c>
      <c r="N3" s="220" t="s">
        <v>202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199</v>
      </c>
      <c r="F4" s="207" t="s">
        <v>116</v>
      </c>
      <c r="G4" s="209" t="s">
        <v>200</v>
      </c>
      <c r="H4" s="211" t="s">
        <v>201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226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12"/>
      <c r="I5" s="205"/>
      <c r="J5" s="201"/>
      <c r="K5" s="197" t="s">
        <v>224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4"/>
      <c r="O105" s="194"/>
    </row>
    <row r="106" spans="3:15" ht="15.75">
      <c r="C106" s="111">
        <v>42061</v>
      </c>
      <c r="D106" s="34">
        <v>6003.3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42060</v>
      </c>
      <c r="D107" s="34">
        <v>1551.3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223" t="s">
        <v>155</v>
      </c>
      <c r="H108" s="223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f>138305956.27/1000</f>
        <v>138305.95627000002</v>
      </c>
      <c r="E109" s="73"/>
      <c r="F109" s="156" t="s">
        <v>147</v>
      </c>
      <c r="G109" s="191" t="s">
        <v>149</v>
      </c>
      <c r="H109" s="191"/>
      <c r="I109" s="107">
        <v>129396.23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 t="s">
        <v>205</v>
      </c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220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219</v>
      </c>
      <c r="F4" s="207" t="s">
        <v>116</v>
      </c>
      <c r="G4" s="209" t="s">
        <v>173</v>
      </c>
      <c r="H4" s="224" t="s">
        <v>174</v>
      </c>
      <c r="I4" s="226" t="s">
        <v>217</v>
      </c>
      <c r="J4" s="229" t="s">
        <v>218</v>
      </c>
      <c r="K4" s="116" t="s">
        <v>172</v>
      </c>
      <c r="L4" s="121" t="s">
        <v>171</v>
      </c>
      <c r="M4" s="200"/>
      <c r="N4" s="202" t="s">
        <v>194</v>
      </c>
      <c r="O4" s="226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25"/>
      <c r="I5" s="227"/>
      <c r="J5" s="230"/>
      <c r="K5" s="197" t="s">
        <v>188</v>
      </c>
      <c r="L5" s="198"/>
      <c r="M5" s="201"/>
      <c r="N5" s="203"/>
      <c r="O5" s="227"/>
      <c r="P5" s="220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9"/>
      <c r="H102" s="199"/>
      <c r="I102" s="199"/>
      <c r="J102" s="19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4"/>
      <c r="O103" s="194"/>
    </row>
    <row r="104" spans="3:15" ht="15.75">
      <c r="C104" s="111">
        <v>42033</v>
      </c>
      <c r="D104" s="34">
        <v>2896.5</v>
      </c>
      <c r="F104" s="155" t="s">
        <v>166</v>
      </c>
      <c r="G104" s="191" t="s">
        <v>151</v>
      </c>
      <c r="H104" s="191"/>
      <c r="I104" s="106">
        <f>'січень '!I139</f>
        <v>8909.733</v>
      </c>
      <c r="J104" s="228" t="s">
        <v>161</v>
      </c>
      <c r="K104" s="228"/>
      <c r="L104" s="228"/>
      <c r="M104" s="228"/>
      <c r="N104" s="194"/>
      <c r="O104" s="194"/>
    </row>
    <row r="105" spans="3:15" ht="15.75">
      <c r="C105" s="111">
        <v>42032</v>
      </c>
      <c r="D105" s="34">
        <v>2838.1</v>
      </c>
      <c r="G105" s="223" t="s">
        <v>155</v>
      </c>
      <c r="H105" s="223"/>
      <c r="I105" s="103">
        <f>'січень '!I140</f>
        <v>0</v>
      </c>
      <c r="J105" s="231" t="s">
        <v>162</v>
      </c>
      <c r="K105" s="231"/>
      <c r="L105" s="231"/>
      <c r="M105" s="231"/>
      <c r="N105" s="194"/>
      <c r="O105" s="194"/>
    </row>
    <row r="106" spans="7:13" ht="15.75" customHeight="1">
      <c r="G106" s="191" t="s">
        <v>148</v>
      </c>
      <c r="H106" s="191"/>
      <c r="I106" s="103">
        <f>'січень '!I141</f>
        <v>0</v>
      </c>
      <c r="J106" s="228" t="s">
        <v>163</v>
      </c>
      <c r="K106" s="228"/>
      <c r="L106" s="228"/>
      <c r="M106" s="228"/>
    </row>
    <row r="107" spans="2:13" ht="18.75" customHeight="1">
      <c r="B107" s="189" t="s">
        <v>160</v>
      </c>
      <c r="C107" s="190"/>
      <c r="D107" s="108">
        <f>'січень '!D142</f>
        <v>132375.63</v>
      </c>
      <c r="E107" s="73"/>
      <c r="F107" s="156" t="s">
        <v>147</v>
      </c>
      <c r="G107" s="191" t="s">
        <v>149</v>
      </c>
      <c r="H107" s="191"/>
      <c r="I107" s="107">
        <f>'січень '!I142</f>
        <v>123465.893</v>
      </c>
      <c r="J107" s="228" t="s">
        <v>164</v>
      </c>
      <c r="K107" s="228"/>
      <c r="L107" s="228"/>
      <c r="M107" s="228"/>
    </row>
    <row r="108" spans="7:12" ht="9.75" customHeight="1">
      <c r="G108" s="185"/>
      <c r="H108" s="185"/>
      <c r="I108" s="90"/>
      <c r="J108" s="91"/>
      <c r="K108" s="91"/>
      <c r="L108" s="91"/>
    </row>
    <row r="109" spans="2:12" ht="22.5" customHeight="1" hidden="1">
      <c r="B109" s="186" t="s">
        <v>167</v>
      </c>
      <c r="C109" s="187"/>
      <c r="D109" s="110">
        <v>0</v>
      </c>
      <c r="E109" s="70" t="s">
        <v>104</v>
      </c>
      <c r="G109" s="185"/>
      <c r="H109" s="185"/>
      <c r="I109" s="90"/>
      <c r="J109" s="91"/>
      <c r="K109" s="91"/>
      <c r="L109" s="91"/>
    </row>
    <row r="110" spans="4:15" ht="15.75">
      <c r="D110" s="105"/>
      <c r="N110" s="185"/>
      <c r="O110" s="185"/>
    </row>
    <row r="111" spans="4:15" ht="15.75">
      <c r="D111" s="104"/>
      <c r="I111" s="34"/>
      <c r="N111" s="188"/>
      <c r="O111" s="188"/>
    </row>
    <row r="112" spans="14:15" ht="15.75">
      <c r="N112" s="185"/>
      <c r="O112" s="185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 t="s">
        <v>203</v>
      </c>
      <c r="C3" s="182" t="s">
        <v>0</v>
      </c>
      <c r="D3" s="183" t="s">
        <v>190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187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153</v>
      </c>
      <c r="F4" s="207" t="s">
        <v>116</v>
      </c>
      <c r="G4" s="209" t="s">
        <v>173</v>
      </c>
      <c r="H4" s="224" t="s">
        <v>174</v>
      </c>
      <c r="I4" s="226" t="s">
        <v>186</v>
      </c>
      <c r="J4" s="229" t="s">
        <v>189</v>
      </c>
      <c r="K4" s="116" t="s">
        <v>172</v>
      </c>
      <c r="L4" s="121" t="s">
        <v>171</v>
      </c>
      <c r="M4" s="200"/>
      <c r="N4" s="202" t="s">
        <v>194</v>
      </c>
      <c r="O4" s="226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25"/>
      <c r="I5" s="227"/>
      <c r="J5" s="230"/>
      <c r="K5" s="197" t="s">
        <v>188</v>
      </c>
      <c r="L5" s="198"/>
      <c r="M5" s="201"/>
      <c r="N5" s="203"/>
      <c r="O5" s="227"/>
      <c r="P5" s="220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9"/>
      <c r="H137" s="199"/>
      <c r="I137" s="199"/>
      <c r="J137" s="19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4"/>
      <c r="O138" s="194"/>
    </row>
    <row r="139" spans="3:15" ht="15.75">
      <c r="C139" s="111">
        <v>42033</v>
      </c>
      <c r="D139" s="34">
        <v>2896.5</v>
      </c>
      <c r="F139" s="155" t="s">
        <v>166</v>
      </c>
      <c r="G139" s="191" t="s">
        <v>151</v>
      </c>
      <c r="H139" s="191"/>
      <c r="I139" s="106">
        <f>8909.733</f>
        <v>8909.733</v>
      </c>
      <c r="J139" s="228" t="s">
        <v>161</v>
      </c>
      <c r="K139" s="228"/>
      <c r="L139" s="228"/>
      <c r="M139" s="228"/>
      <c r="N139" s="194"/>
      <c r="O139" s="194"/>
    </row>
    <row r="140" spans="3:15" ht="15.75">
      <c r="C140" s="111">
        <v>42032</v>
      </c>
      <c r="D140" s="34">
        <v>2838.1</v>
      </c>
      <c r="G140" s="223" t="s">
        <v>155</v>
      </c>
      <c r="H140" s="223"/>
      <c r="I140" s="103">
        <v>0</v>
      </c>
      <c r="J140" s="231" t="s">
        <v>162</v>
      </c>
      <c r="K140" s="231"/>
      <c r="L140" s="231"/>
      <c r="M140" s="231"/>
      <c r="N140" s="194"/>
      <c r="O140" s="194"/>
    </row>
    <row r="141" spans="7:13" ht="15.75" customHeight="1">
      <c r="G141" s="191" t="s">
        <v>148</v>
      </c>
      <c r="H141" s="191"/>
      <c r="I141" s="103">
        <v>0</v>
      </c>
      <c r="J141" s="228" t="s">
        <v>163</v>
      </c>
      <c r="K141" s="228"/>
      <c r="L141" s="228"/>
      <c r="M141" s="228"/>
    </row>
    <row r="142" spans="2:13" ht="18.75" customHeight="1">
      <c r="B142" s="189" t="s">
        <v>160</v>
      </c>
      <c r="C142" s="190"/>
      <c r="D142" s="108">
        <f>132375.63</f>
        <v>132375.63</v>
      </c>
      <c r="E142" s="73"/>
      <c r="F142" s="156" t="s">
        <v>147</v>
      </c>
      <c r="G142" s="191" t="s">
        <v>149</v>
      </c>
      <c r="H142" s="191"/>
      <c r="I142" s="107">
        <f>123465.893</f>
        <v>123465.893</v>
      </c>
      <c r="J142" s="228" t="s">
        <v>164</v>
      </c>
      <c r="K142" s="228"/>
      <c r="L142" s="228"/>
      <c r="M142" s="228"/>
    </row>
    <row r="143" spans="7:12" ht="9.75" customHeight="1">
      <c r="G143" s="185"/>
      <c r="H143" s="185"/>
      <c r="I143" s="90"/>
      <c r="J143" s="91"/>
      <c r="K143" s="91"/>
      <c r="L143" s="91"/>
    </row>
    <row r="144" spans="2:12" ht="22.5" customHeight="1" hidden="1">
      <c r="B144" s="186" t="s">
        <v>167</v>
      </c>
      <c r="C144" s="187"/>
      <c r="D144" s="110">
        <v>0</v>
      </c>
      <c r="E144" s="70" t="s">
        <v>104</v>
      </c>
      <c r="G144" s="185"/>
      <c r="H144" s="185"/>
      <c r="I144" s="90"/>
      <c r="J144" s="91"/>
      <c r="K144" s="91"/>
      <c r="L144" s="91"/>
    </row>
    <row r="145" spans="4:15" ht="15.75">
      <c r="D145" s="105"/>
      <c r="N145" s="185"/>
      <c r="O145" s="185"/>
    </row>
    <row r="146" spans="4:15" ht="15.75">
      <c r="D146" s="104"/>
      <c r="I146" s="34"/>
      <c r="N146" s="188"/>
      <c r="O146" s="188"/>
    </row>
    <row r="147" spans="14:15" ht="15.75">
      <c r="N147" s="185"/>
      <c r="O147" s="185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2015-04-08T07:27:13Z</cp:lastPrinted>
  <dcterms:created xsi:type="dcterms:W3CDTF">2003-07-28T11:27:56Z</dcterms:created>
  <dcterms:modified xsi:type="dcterms:W3CDTF">2015-04-08T13:52:46Z</dcterms:modified>
  <cp:category/>
  <cp:version/>
  <cp:contentType/>
  <cp:contentStatus/>
</cp:coreProperties>
</file>